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 New Era\1. Finance Office\Accounting\1. ABFI\"/>
    </mc:Choice>
  </mc:AlternateContent>
  <xr:revisionPtr revIDLastSave="0" documentId="13_ncr:1_{03EBA102-5735-4772-8E33-038FE6EF16DA}" xr6:coauthVersionLast="47" xr6:coauthVersionMax="47" xr10:uidLastSave="{00000000-0000-0000-0000-000000000000}"/>
  <bookViews>
    <workbookView xWindow="-27528" yWindow="2112" windowWidth="23040" windowHeight="12072" firstSheet="1" activeTab="1" xr2:uid="{A4B1F764-8BF9-453C-AC36-9042761FE5D7}"/>
  </bookViews>
  <sheets>
    <sheet name="Loan Quote Source" sheetId="3" state="hidden" r:id="rId1"/>
    <sheet name="Loan Quote " sheetId="5" r:id="rId2"/>
    <sheet name="Instructions" sheetId="7" r:id="rId3"/>
    <sheet name="Summary" sheetId="6" r:id="rId4"/>
    <sheet name="Data" sheetId="1" r:id="rId5"/>
    <sheet name="Rates" sheetId="2" r:id="rId6"/>
  </sheets>
  <definedNames>
    <definedName name="EndingBalance">-FV(InterestRate/12,PaymentNumber,-MonthlyPayment,LoanAmount)</definedName>
    <definedName name="HeaderRow">ROW(#REF!)</definedName>
    <definedName name="InterestAmt">-IPMT(InterestRate/12,PaymentNumber,NumberOfPayments,LoanAmount)</definedName>
    <definedName name="InterestRate">#REF!</definedName>
    <definedName name="LastRow">MATCH(9.99E+307,#REF!)</definedName>
    <definedName name="LoanAmount">#REF!</definedName>
    <definedName name="LoanIsGood">IF(LoanAmount*InterestRate*LoanYears*LoanStartDate&gt;0,1,0)</definedName>
    <definedName name="LoanIsNotPaid">IF(PaymentNumber&lt;=NumberOfPayments,1,0)</definedName>
    <definedName name="LoanStartDate">#REF!</definedName>
    <definedName name="LoanValue">-FV(InterestRate/12,PaymentNumber-1,-MonthlyPayment,LoanAmount)</definedName>
    <definedName name="LoanYears">#REF!</definedName>
    <definedName name="MonthlyPayment">-PMT(InterestRate/12,NumberOfPayments,LoanAmount)</definedName>
    <definedName name="NumberOfPayments">#REF!</definedName>
    <definedName name="PaymentDate">DATE(YEAR(LoanStartDate),MONTH(LoanStartDate)+PaymentNumber,DAY(LoanStartDate))</definedName>
    <definedName name="PaymentNumber">ROW()-HeaderRow</definedName>
    <definedName name="Principal">-PPMT(InterestRate/12,PaymentNumber,NumberOfPayments,LoanAmount)</definedName>
    <definedName name="_xlnm.Print_Area" localSheetId="1">'Loan Quote '!$A$1:$J$117</definedName>
    <definedName name="_xlnm.Print_Titles" localSheetId="1">'Loan Quote '!$16:$16</definedName>
    <definedName name="TotalLoanCo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1" l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2" i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5" i="2"/>
  <c r="M7" i="2" l="1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6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C33" i="2"/>
  <c r="N33" i="2" l="1"/>
  <c r="G33" i="2"/>
  <c r="H33" i="2"/>
  <c r="I6" i="2"/>
  <c r="I7" i="2"/>
  <c r="I8" i="2"/>
  <c r="I9" i="2"/>
  <c r="I10" i="2"/>
  <c r="I11" i="2"/>
  <c r="H12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H31" i="2"/>
  <c r="I31" i="2"/>
  <c r="H32" i="2"/>
  <c r="I32" i="2"/>
  <c r="I5" i="2"/>
  <c r="H5" i="2"/>
  <c r="J5" i="2" s="1"/>
  <c r="C5" i="3"/>
  <c r="J12" i="2" l="1"/>
  <c r="J32" i="2"/>
  <c r="J31" i="2"/>
  <c r="C34" i="2"/>
  <c r="I33" i="2"/>
  <c r="J33" i="2" s="1"/>
  <c r="I12" i="3"/>
  <c r="D34" i="2" l="1"/>
  <c r="G34" i="2" s="1"/>
  <c r="H34" i="2"/>
  <c r="D11" i="1"/>
  <c r="D10" i="1"/>
  <c r="D9" i="1"/>
  <c r="D8" i="1"/>
  <c r="C8" i="3"/>
  <c r="N34" i="2" l="1"/>
  <c r="I34" i="2"/>
  <c r="J34" i="2" s="1"/>
  <c r="C35" i="2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O1" i="1"/>
  <c r="N1" i="1"/>
  <c r="C6" i="3"/>
  <c r="N6" i="3" s="1"/>
  <c r="D17" i="3"/>
  <c r="D35" i="2" l="1"/>
  <c r="G35" i="2" s="1"/>
  <c r="H35" i="2"/>
  <c r="C7" i="3"/>
  <c r="N35" i="2" l="1"/>
  <c r="C36" i="2"/>
  <c r="I35" i="2"/>
  <c r="J35" i="2" s="1"/>
  <c r="G11" i="3"/>
  <c r="D36" i="2" l="1"/>
  <c r="G36" i="2" s="1"/>
  <c r="H36" i="2"/>
  <c r="R142" i="1"/>
  <c r="S142" i="1"/>
  <c r="T142" i="1"/>
  <c r="U142" i="1"/>
  <c r="R143" i="1"/>
  <c r="S143" i="1"/>
  <c r="T143" i="1"/>
  <c r="U143" i="1"/>
  <c r="N36" i="2" l="1"/>
  <c r="C37" i="2"/>
  <c r="I36" i="2"/>
  <c r="J36" i="2" s="1"/>
  <c r="C11" i="3"/>
  <c r="D37" i="2" l="1"/>
  <c r="G37" i="2" s="1"/>
  <c r="H37" i="2"/>
  <c r="D3" i="1"/>
  <c r="D4" i="1"/>
  <c r="D5" i="1"/>
  <c r="D6" i="1"/>
  <c r="D7" i="1"/>
  <c r="D2" i="1"/>
  <c r="G12" i="3" s="1"/>
  <c r="N37" i="2" l="1"/>
  <c r="C38" i="2"/>
  <c r="I37" i="2"/>
  <c r="J37" i="2" s="1"/>
  <c r="N124" i="3"/>
  <c r="N103" i="3"/>
  <c r="N115" i="3"/>
  <c r="N109" i="3"/>
  <c r="N121" i="3"/>
  <c r="N112" i="3"/>
  <c r="O112" i="3" s="1"/>
  <c r="P112" i="3" s="1"/>
  <c r="N106" i="3"/>
  <c r="N119" i="3"/>
  <c r="N114" i="3"/>
  <c r="N123" i="3"/>
  <c r="N111" i="3"/>
  <c r="N117" i="3"/>
  <c r="N105" i="3"/>
  <c r="N104" i="3"/>
  <c r="N118" i="3"/>
  <c r="N125" i="3"/>
  <c r="N122" i="3"/>
  <c r="N107" i="3"/>
  <c r="N120" i="3"/>
  <c r="N116" i="3"/>
  <c r="N113" i="3"/>
  <c r="N108" i="3"/>
  <c r="N110" i="3"/>
  <c r="H2" i="1"/>
  <c r="H144" i="1" s="1"/>
  <c r="D38" i="2" l="1"/>
  <c r="G38" i="2" s="1"/>
  <c r="H38" i="2"/>
  <c r="O105" i="3"/>
  <c r="O107" i="3"/>
  <c r="O115" i="3"/>
  <c r="O110" i="3"/>
  <c r="O113" i="3"/>
  <c r="O120" i="3"/>
  <c r="O122" i="3"/>
  <c r="O118" i="3"/>
  <c r="O117" i="3"/>
  <c r="O111" i="3"/>
  <c r="O123" i="3"/>
  <c r="O114" i="3"/>
  <c r="O119" i="3"/>
  <c r="O106" i="3"/>
  <c r="O121" i="3"/>
  <c r="O103" i="3"/>
  <c r="O108" i="3"/>
  <c r="O116" i="3"/>
  <c r="O125" i="3"/>
  <c r="O104" i="3"/>
  <c r="Q112" i="3"/>
  <c r="J112" i="3"/>
  <c r="O109" i="3"/>
  <c r="O124" i="3"/>
  <c r="M144" i="1"/>
  <c r="H145" i="1"/>
  <c r="K144" i="1"/>
  <c r="H131" i="1"/>
  <c r="I2" i="1"/>
  <c r="I144" i="1" s="1"/>
  <c r="K2" i="1"/>
  <c r="N38" i="2" l="1"/>
  <c r="C39" i="2"/>
  <c r="I38" i="2"/>
  <c r="J38" i="2" s="1"/>
  <c r="P106" i="3"/>
  <c r="J106" i="3" s="1"/>
  <c r="P120" i="3"/>
  <c r="J120" i="3" s="1"/>
  <c r="P105" i="3"/>
  <c r="J105" i="3" s="1"/>
  <c r="P124" i="3"/>
  <c r="J124" i="3" s="1"/>
  <c r="P109" i="3"/>
  <c r="J109" i="3" s="1"/>
  <c r="P104" i="3"/>
  <c r="J104" i="3" s="1"/>
  <c r="P125" i="3"/>
  <c r="J125" i="3" s="1"/>
  <c r="P116" i="3"/>
  <c r="J116" i="3" s="1"/>
  <c r="P108" i="3"/>
  <c r="J108" i="3" s="1"/>
  <c r="P103" i="3"/>
  <c r="J103" i="3" s="1"/>
  <c r="P121" i="3"/>
  <c r="J121" i="3" s="1"/>
  <c r="P119" i="3"/>
  <c r="J119" i="3" s="1"/>
  <c r="P114" i="3"/>
  <c r="J114" i="3" s="1"/>
  <c r="P123" i="3"/>
  <c r="J123" i="3" s="1"/>
  <c r="P111" i="3"/>
  <c r="J111" i="3" s="1"/>
  <c r="P117" i="3"/>
  <c r="J117" i="3" s="1"/>
  <c r="P118" i="3"/>
  <c r="J118" i="3" s="1"/>
  <c r="P122" i="3"/>
  <c r="J122" i="3" s="1"/>
  <c r="P113" i="3"/>
  <c r="J113" i="3" s="1"/>
  <c r="P110" i="3"/>
  <c r="J110" i="3" s="1"/>
  <c r="P115" i="3"/>
  <c r="J115" i="3" s="1"/>
  <c r="P107" i="3"/>
  <c r="J107" i="3" s="1"/>
  <c r="Q115" i="3"/>
  <c r="Q111" i="3"/>
  <c r="Q104" i="3"/>
  <c r="Q110" i="3"/>
  <c r="Q105" i="3"/>
  <c r="Q113" i="3"/>
  <c r="Q109" i="3"/>
  <c r="Q123" i="3"/>
  <c r="Q116" i="3"/>
  <c r="Q117" i="3"/>
  <c r="Q118" i="3"/>
  <c r="Q103" i="3"/>
  <c r="Q114" i="3"/>
  <c r="Q106" i="3"/>
  <c r="Q107" i="3"/>
  <c r="Q120" i="3"/>
  <c r="Q124" i="3"/>
  <c r="Q125" i="3"/>
  <c r="Q119" i="3"/>
  <c r="Q122" i="3"/>
  <c r="Q108" i="3"/>
  <c r="Q121" i="3"/>
  <c r="M131" i="1"/>
  <c r="M145" i="1"/>
  <c r="N144" i="1"/>
  <c r="I145" i="1"/>
  <c r="H146" i="1"/>
  <c r="K145" i="1"/>
  <c r="H132" i="1"/>
  <c r="K131" i="1"/>
  <c r="O2" i="1"/>
  <c r="Q144" i="1" s="1"/>
  <c r="T144" i="1" s="1"/>
  <c r="H3" i="1"/>
  <c r="N2" i="1"/>
  <c r="P144" i="1" s="1"/>
  <c r="R144" i="1" s="1"/>
  <c r="I131" i="1"/>
  <c r="C7" i="2"/>
  <c r="F6" i="2"/>
  <c r="F7" i="2"/>
  <c r="F8" i="2"/>
  <c r="F9" i="2"/>
  <c r="F10" i="2"/>
  <c r="F11" i="2"/>
  <c r="F12" i="2"/>
  <c r="G12" i="2" s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G31" i="2" s="1"/>
  <c r="F32" i="2"/>
  <c r="G32" i="2" s="1"/>
  <c r="F5" i="2"/>
  <c r="G5" i="2" s="1"/>
  <c r="C30" i="2"/>
  <c r="G30" i="2" s="1"/>
  <c r="C29" i="2"/>
  <c r="G29" i="2" s="1"/>
  <c r="C28" i="2"/>
  <c r="C27" i="2"/>
  <c r="C26" i="2"/>
  <c r="C25" i="2"/>
  <c r="G25" i="2" s="1"/>
  <c r="C24" i="2"/>
  <c r="C23" i="2"/>
  <c r="C22" i="2"/>
  <c r="G22" i="2" s="1"/>
  <c r="C21" i="2"/>
  <c r="C20" i="2"/>
  <c r="C19" i="2"/>
  <c r="C18" i="2"/>
  <c r="C17" i="2"/>
  <c r="C16" i="2"/>
  <c r="C15" i="2"/>
  <c r="C14" i="2"/>
  <c r="C13" i="2"/>
  <c r="C11" i="2"/>
  <c r="C10" i="2"/>
  <c r="C9" i="2"/>
  <c r="C8" i="2"/>
  <c r="C6" i="2"/>
  <c r="G6" i="2" s="1"/>
  <c r="H26" i="2" l="1"/>
  <c r="J26" i="2" s="1"/>
  <c r="G26" i="2"/>
  <c r="H15" i="2"/>
  <c r="J15" i="2" s="1"/>
  <c r="G15" i="2"/>
  <c r="H16" i="2"/>
  <c r="J16" i="2" s="1"/>
  <c r="G16" i="2"/>
  <c r="H17" i="2"/>
  <c r="J17" i="2" s="1"/>
  <c r="G17" i="2"/>
  <c r="H24" i="2"/>
  <c r="J24" i="2" s="1"/>
  <c r="G24" i="2"/>
  <c r="H18" i="2"/>
  <c r="J18" i="2" s="1"/>
  <c r="G18" i="2"/>
  <c r="H23" i="2"/>
  <c r="J23" i="2" s="1"/>
  <c r="G23" i="2"/>
  <c r="H10" i="2"/>
  <c r="J10" i="2" s="1"/>
  <c r="G10" i="2"/>
  <c r="H7" i="2"/>
  <c r="J7" i="2" s="1"/>
  <c r="G7" i="2"/>
  <c r="H8" i="2"/>
  <c r="J8" i="2" s="1"/>
  <c r="G8" i="2"/>
  <c r="H9" i="2"/>
  <c r="J9" i="2" s="1"/>
  <c r="G9" i="2"/>
  <c r="H11" i="2"/>
  <c r="J11" i="2" s="1"/>
  <c r="G11" i="2"/>
  <c r="H14" i="2"/>
  <c r="J14" i="2" s="1"/>
  <c r="G14" i="2"/>
  <c r="H19" i="2"/>
  <c r="J19" i="2" s="1"/>
  <c r="G19" i="2"/>
  <c r="H27" i="2"/>
  <c r="J27" i="2" s="1"/>
  <c r="G27" i="2"/>
  <c r="H28" i="2"/>
  <c r="J28" i="2" s="1"/>
  <c r="G28" i="2"/>
  <c r="H13" i="2"/>
  <c r="J13" i="2" s="1"/>
  <c r="G13" i="2"/>
  <c r="H20" i="2"/>
  <c r="J20" i="2" s="1"/>
  <c r="G20" i="2"/>
  <c r="H21" i="2"/>
  <c r="J21" i="2" s="1"/>
  <c r="G21" i="2"/>
  <c r="H25" i="2"/>
  <c r="J25" i="2" s="1"/>
  <c r="H22" i="2"/>
  <c r="J22" i="2" s="1"/>
  <c r="G14" i="3" a="1"/>
  <c r="G14" i="3" s="1"/>
  <c r="D39" i="2"/>
  <c r="G39" i="2" s="1"/>
  <c r="H39" i="2"/>
  <c r="H29" i="2"/>
  <c r="J29" i="2" s="1"/>
  <c r="H30" i="2"/>
  <c r="J30" i="2" s="1"/>
  <c r="H6" i="2"/>
  <c r="J6" i="2" s="1"/>
  <c r="K132" i="1"/>
  <c r="M132" i="1"/>
  <c r="S144" i="1"/>
  <c r="H133" i="1"/>
  <c r="K133" i="1" s="1"/>
  <c r="N131" i="1"/>
  <c r="M146" i="1"/>
  <c r="U144" i="1"/>
  <c r="N145" i="1"/>
  <c r="H147" i="1"/>
  <c r="K146" i="1"/>
  <c r="I146" i="1"/>
  <c r="P145" i="1"/>
  <c r="R145" i="1" s="1"/>
  <c r="Q145" i="1"/>
  <c r="T145" i="1" s="1"/>
  <c r="P131" i="1"/>
  <c r="R131" i="1" s="1"/>
  <c r="I132" i="1"/>
  <c r="Q131" i="1"/>
  <c r="T131" i="1" s="1"/>
  <c r="K3" i="1"/>
  <c r="I3" i="1"/>
  <c r="N39" i="2" l="1"/>
  <c r="C40" i="2"/>
  <c r="I39" i="2"/>
  <c r="J39" i="2" s="1"/>
  <c r="H134" i="1"/>
  <c r="H135" i="1" s="1"/>
  <c r="U131" i="1"/>
  <c r="S131" i="1"/>
  <c r="U145" i="1"/>
  <c r="M147" i="1"/>
  <c r="S145" i="1"/>
  <c r="M133" i="1"/>
  <c r="N132" i="1"/>
  <c r="N146" i="1"/>
  <c r="I147" i="1"/>
  <c r="P146" i="1"/>
  <c r="R146" i="1" s="1"/>
  <c r="Q146" i="1"/>
  <c r="T146" i="1" s="1"/>
  <c r="K147" i="1"/>
  <c r="H148" i="1"/>
  <c r="R2" i="1"/>
  <c r="S2" i="1"/>
  <c r="T2" i="1"/>
  <c r="U2" i="1"/>
  <c r="R3" i="1"/>
  <c r="H4" i="1"/>
  <c r="T3" i="1"/>
  <c r="P132" i="1"/>
  <c r="R132" i="1" s="1"/>
  <c r="I133" i="1"/>
  <c r="Q132" i="1"/>
  <c r="T132" i="1" s="1"/>
  <c r="D40" i="2" l="1"/>
  <c r="G40" i="2" s="1"/>
  <c r="H40" i="2"/>
  <c r="U132" i="1"/>
  <c r="K134" i="1"/>
  <c r="M134" i="1"/>
  <c r="S132" i="1"/>
  <c r="U146" i="1"/>
  <c r="S146" i="1"/>
  <c r="M148" i="1"/>
  <c r="N147" i="1"/>
  <c r="M135" i="1"/>
  <c r="N133" i="1"/>
  <c r="H149" i="1"/>
  <c r="K148" i="1"/>
  <c r="I148" i="1"/>
  <c r="P147" i="1"/>
  <c r="R147" i="1" s="1"/>
  <c r="Q147" i="1"/>
  <c r="T147" i="1" s="1"/>
  <c r="U3" i="1"/>
  <c r="S3" i="1"/>
  <c r="K135" i="1"/>
  <c r="I134" i="1"/>
  <c r="P133" i="1"/>
  <c r="R133" i="1" s="1"/>
  <c r="Q133" i="1"/>
  <c r="T133" i="1" s="1"/>
  <c r="H136" i="1"/>
  <c r="I4" i="1"/>
  <c r="K4" i="1"/>
  <c r="N40" i="2" l="1"/>
  <c r="C41" i="2"/>
  <c r="I40" i="2"/>
  <c r="J40" i="2" s="1"/>
  <c r="U133" i="1"/>
  <c r="M149" i="1"/>
  <c r="U147" i="1"/>
  <c r="N148" i="1"/>
  <c r="S133" i="1"/>
  <c r="S147" i="1"/>
  <c r="M136" i="1"/>
  <c r="N134" i="1"/>
  <c r="I149" i="1"/>
  <c r="P148" i="1"/>
  <c r="R148" i="1" s="1"/>
  <c r="Q148" i="1"/>
  <c r="T148" i="1" s="1"/>
  <c r="K149" i="1"/>
  <c r="H150" i="1"/>
  <c r="K136" i="1"/>
  <c r="H5" i="1"/>
  <c r="R4" i="1"/>
  <c r="T4" i="1"/>
  <c r="H137" i="1"/>
  <c r="I135" i="1"/>
  <c r="P134" i="1"/>
  <c r="R134" i="1" s="1"/>
  <c r="Q134" i="1"/>
  <c r="T134" i="1" s="1"/>
  <c r="D41" i="2" l="1"/>
  <c r="G41" i="2" s="1"/>
  <c r="H41" i="2"/>
  <c r="S134" i="1"/>
  <c r="U134" i="1"/>
  <c r="U148" i="1"/>
  <c r="S148" i="1"/>
  <c r="M150" i="1"/>
  <c r="N149" i="1"/>
  <c r="N135" i="1"/>
  <c r="M137" i="1"/>
  <c r="K150" i="1"/>
  <c r="H151" i="1"/>
  <c r="I150" i="1"/>
  <c r="Q149" i="1"/>
  <c r="T149" i="1" s="1"/>
  <c r="P149" i="1"/>
  <c r="R149" i="1" s="1"/>
  <c r="U4" i="1"/>
  <c r="S4" i="1"/>
  <c r="H138" i="1"/>
  <c r="K137" i="1"/>
  <c r="I136" i="1"/>
  <c r="P135" i="1"/>
  <c r="R135" i="1" s="1"/>
  <c r="Q135" i="1"/>
  <c r="T135" i="1" s="1"/>
  <c r="I5" i="1"/>
  <c r="K5" i="1"/>
  <c r="N41" i="2" l="1"/>
  <c r="C42" i="2"/>
  <c r="I41" i="2"/>
  <c r="J41" i="2" s="1"/>
  <c r="U135" i="1"/>
  <c r="S135" i="1"/>
  <c r="M138" i="1"/>
  <c r="M151" i="1"/>
  <c r="N150" i="1"/>
  <c r="S149" i="1"/>
  <c r="U149" i="1"/>
  <c r="N136" i="1"/>
  <c r="I151" i="1"/>
  <c r="P150" i="1"/>
  <c r="R150" i="1" s="1"/>
  <c r="Q150" i="1"/>
  <c r="T150" i="1" s="1"/>
  <c r="K151" i="1"/>
  <c r="H152" i="1"/>
  <c r="H139" i="1"/>
  <c r="K138" i="1"/>
  <c r="I137" i="1"/>
  <c r="P136" i="1"/>
  <c r="R136" i="1" s="1"/>
  <c r="Q136" i="1"/>
  <c r="T136" i="1" s="1"/>
  <c r="H6" i="1"/>
  <c r="R5" i="1"/>
  <c r="T5" i="1"/>
  <c r="D42" i="2" l="1"/>
  <c r="G42" i="2" s="1"/>
  <c r="H42" i="2"/>
  <c r="N137" i="1"/>
  <c r="M152" i="1"/>
  <c r="N151" i="1"/>
  <c r="U136" i="1"/>
  <c r="S136" i="1"/>
  <c r="U150" i="1"/>
  <c r="M139" i="1"/>
  <c r="S150" i="1"/>
  <c r="H153" i="1"/>
  <c r="K152" i="1"/>
  <c r="I152" i="1"/>
  <c r="Q151" i="1"/>
  <c r="T151" i="1" s="1"/>
  <c r="P151" i="1"/>
  <c r="R151" i="1" s="1"/>
  <c r="U5" i="1"/>
  <c r="S5" i="1"/>
  <c r="I138" i="1"/>
  <c r="H140" i="1"/>
  <c r="K139" i="1"/>
  <c r="I6" i="1"/>
  <c r="K6" i="1"/>
  <c r="P137" i="1"/>
  <c r="R137" i="1" s="1"/>
  <c r="Q137" i="1"/>
  <c r="T137" i="1" s="1"/>
  <c r="N42" i="2" l="1"/>
  <c r="C43" i="2"/>
  <c r="I42" i="2"/>
  <c r="J42" i="2" s="1"/>
  <c r="N138" i="1"/>
  <c r="N152" i="1"/>
  <c r="S137" i="1"/>
  <c r="M153" i="1"/>
  <c r="U151" i="1"/>
  <c r="S151" i="1"/>
  <c r="U137" i="1"/>
  <c r="M140" i="1"/>
  <c r="I153" i="1"/>
  <c r="P152" i="1"/>
  <c r="R152" i="1" s="1"/>
  <c r="Q152" i="1"/>
  <c r="T152" i="1" s="1"/>
  <c r="H154" i="1"/>
  <c r="K153" i="1"/>
  <c r="I139" i="1"/>
  <c r="P138" i="1"/>
  <c r="R138" i="1" s="1"/>
  <c r="Q138" i="1"/>
  <c r="T138" i="1" s="1"/>
  <c r="H141" i="1"/>
  <c r="K140" i="1"/>
  <c r="H7" i="1"/>
  <c r="R6" i="1"/>
  <c r="T6" i="1"/>
  <c r="D43" i="2" l="1"/>
  <c r="G43" i="2" s="1"/>
  <c r="H43" i="2"/>
  <c r="M154" i="1"/>
  <c r="N153" i="1"/>
  <c r="N139" i="1"/>
  <c r="U152" i="1"/>
  <c r="S152" i="1"/>
  <c r="U138" i="1"/>
  <c r="M141" i="1"/>
  <c r="S138" i="1"/>
  <c r="K154" i="1"/>
  <c r="I154" i="1"/>
  <c r="P153" i="1"/>
  <c r="R153" i="1" s="1"/>
  <c r="Q153" i="1"/>
  <c r="T153" i="1" s="1"/>
  <c r="S6" i="1"/>
  <c r="U6" i="1"/>
  <c r="K141" i="1"/>
  <c r="I140" i="1"/>
  <c r="P139" i="1"/>
  <c r="R139" i="1" s="1"/>
  <c r="Q139" i="1"/>
  <c r="T139" i="1" s="1"/>
  <c r="I7" i="1"/>
  <c r="K7" i="1"/>
  <c r="N43" i="2" l="1"/>
  <c r="C44" i="2"/>
  <c r="I43" i="2"/>
  <c r="J43" i="2" s="1"/>
  <c r="S139" i="1"/>
  <c r="U139" i="1"/>
  <c r="N154" i="1"/>
  <c r="N140" i="1"/>
  <c r="S153" i="1"/>
  <c r="U153" i="1"/>
  <c r="P154" i="1"/>
  <c r="R154" i="1" s="1"/>
  <c r="Q154" i="1"/>
  <c r="T154" i="1" s="1"/>
  <c r="I141" i="1"/>
  <c r="P140" i="1"/>
  <c r="R140" i="1" s="1"/>
  <c r="Q140" i="1"/>
  <c r="T140" i="1" s="1"/>
  <c r="H8" i="1"/>
  <c r="R7" i="1"/>
  <c r="T7" i="1"/>
  <c r="D44" i="2" l="1"/>
  <c r="G44" i="2" s="1"/>
  <c r="H44" i="2"/>
  <c r="N141" i="1"/>
  <c r="S140" i="1"/>
  <c r="U140" i="1"/>
  <c r="U154" i="1"/>
  <c r="S154" i="1"/>
  <c r="U7" i="1"/>
  <c r="S7" i="1"/>
  <c r="P141" i="1"/>
  <c r="R141" i="1" s="1"/>
  <c r="Q141" i="1"/>
  <c r="T141" i="1" s="1"/>
  <c r="I8" i="1"/>
  <c r="K8" i="1"/>
  <c r="N44" i="2" l="1"/>
  <c r="C45" i="2"/>
  <c r="I44" i="2"/>
  <c r="J44" i="2" s="1"/>
  <c r="U141" i="1"/>
  <c r="S141" i="1"/>
  <c r="H9" i="1"/>
  <c r="R8" i="1"/>
  <c r="T8" i="1"/>
  <c r="D45" i="2" l="1"/>
  <c r="G45" i="2" s="1"/>
  <c r="H45" i="2"/>
  <c r="U8" i="1"/>
  <c r="S8" i="1"/>
  <c r="I9" i="1"/>
  <c r="K9" i="1"/>
  <c r="N45" i="2" l="1"/>
  <c r="C46" i="2"/>
  <c r="I45" i="2"/>
  <c r="J45" i="2" s="1"/>
  <c r="H10" i="1"/>
  <c r="R9" i="1"/>
  <c r="T9" i="1"/>
  <c r="D46" i="2" l="1"/>
  <c r="G46" i="2" s="1"/>
  <c r="H46" i="2"/>
  <c r="U9" i="1"/>
  <c r="S9" i="1"/>
  <c r="I10" i="1"/>
  <c r="K10" i="1"/>
  <c r="N46" i="2" l="1"/>
  <c r="C47" i="2"/>
  <c r="I46" i="2"/>
  <c r="J46" i="2" s="1"/>
  <c r="H11" i="1"/>
  <c r="R10" i="1"/>
  <c r="T10" i="1"/>
  <c r="D47" i="2" l="1"/>
  <c r="G47" i="2" s="1"/>
  <c r="H47" i="2"/>
  <c r="S10" i="1"/>
  <c r="U10" i="1"/>
  <c r="I11" i="1"/>
  <c r="K11" i="1"/>
  <c r="N47" i="2" l="1"/>
  <c r="C48" i="2"/>
  <c r="I47" i="2"/>
  <c r="J47" i="2" s="1"/>
  <c r="H12" i="1"/>
  <c r="R11" i="1"/>
  <c r="T11" i="1"/>
  <c r="D48" i="2" l="1"/>
  <c r="G48" i="2" s="1"/>
  <c r="H48" i="2"/>
  <c r="U11" i="1"/>
  <c r="S11" i="1"/>
  <c r="I12" i="1"/>
  <c r="K12" i="1"/>
  <c r="N48" i="2" l="1"/>
  <c r="C49" i="2"/>
  <c r="I48" i="2"/>
  <c r="J48" i="2" s="1"/>
  <c r="H13" i="1"/>
  <c r="R12" i="1"/>
  <c r="T12" i="1"/>
  <c r="D49" i="2" l="1"/>
  <c r="G49" i="2" s="1"/>
  <c r="H49" i="2"/>
  <c r="S12" i="1"/>
  <c r="U12" i="1"/>
  <c r="I13" i="1"/>
  <c r="K13" i="1"/>
  <c r="N49" i="2" l="1"/>
  <c r="I49" i="2"/>
  <c r="J49" i="2" s="1"/>
  <c r="H14" i="1"/>
  <c r="R13" i="1"/>
  <c r="T13" i="1"/>
  <c r="U13" i="1" l="1"/>
  <c r="S13" i="1"/>
  <c r="I14" i="1"/>
  <c r="K14" i="1"/>
  <c r="H15" i="1" l="1"/>
  <c r="R14" i="1"/>
  <c r="T14" i="1"/>
  <c r="S14" i="1" l="1"/>
  <c r="U14" i="1"/>
  <c r="I15" i="1"/>
  <c r="K15" i="1"/>
  <c r="H16" i="1" l="1"/>
  <c r="R15" i="1"/>
  <c r="T15" i="1"/>
  <c r="U15" i="1" l="1"/>
  <c r="S15" i="1"/>
  <c r="I16" i="1"/>
  <c r="K16" i="1"/>
  <c r="H17" i="1" l="1"/>
  <c r="R16" i="1"/>
  <c r="T16" i="1"/>
  <c r="U16" i="1" l="1"/>
  <c r="S16" i="1"/>
  <c r="I17" i="1"/>
  <c r="K17" i="1"/>
  <c r="H18" i="1" l="1"/>
  <c r="R17" i="1"/>
  <c r="T17" i="1"/>
  <c r="U17" i="1" l="1"/>
  <c r="S17" i="1"/>
  <c r="I18" i="1"/>
  <c r="K18" i="1"/>
  <c r="H19" i="1" l="1"/>
  <c r="R18" i="1"/>
  <c r="T18" i="1"/>
  <c r="S18" i="1" l="1"/>
  <c r="U18" i="1"/>
  <c r="I19" i="1"/>
  <c r="K19" i="1"/>
  <c r="H20" i="1" l="1"/>
  <c r="R19" i="1"/>
  <c r="T19" i="1"/>
  <c r="U19" i="1" l="1"/>
  <c r="S19" i="1"/>
  <c r="I20" i="1"/>
  <c r="K20" i="1"/>
  <c r="H21" i="1" l="1"/>
  <c r="R20" i="1"/>
  <c r="T20" i="1"/>
  <c r="S20" i="1" l="1"/>
  <c r="U20" i="1"/>
  <c r="I21" i="1"/>
  <c r="K21" i="1"/>
  <c r="H22" i="1" l="1"/>
  <c r="R21" i="1"/>
  <c r="T21" i="1"/>
  <c r="U21" i="1" l="1"/>
  <c r="S21" i="1"/>
  <c r="I22" i="1"/>
  <c r="K22" i="1"/>
  <c r="H23" i="1" l="1"/>
  <c r="R22" i="1"/>
  <c r="T22" i="1"/>
  <c r="S22" i="1" l="1"/>
  <c r="U22" i="1"/>
  <c r="I23" i="1"/>
  <c r="K23" i="1"/>
  <c r="H24" i="1" l="1"/>
  <c r="R23" i="1"/>
  <c r="T23" i="1"/>
  <c r="U23" i="1" l="1"/>
  <c r="S23" i="1"/>
  <c r="I24" i="1"/>
  <c r="K24" i="1"/>
  <c r="H25" i="1" l="1"/>
  <c r="R24" i="1"/>
  <c r="T24" i="1"/>
  <c r="U24" i="1" l="1"/>
  <c r="S24" i="1"/>
  <c r="I25" i="1"/>
  <c r="K25" i="1"/>
  <c r="H26" i="1" l="1"/>
  <c r="R25" i="1"/>
  <c r="T25" i="1"/>
  <c r="U25" i="1" l="1"/>
  <c r="S25" i="1"/>
  <c r="I26" i="1"/>
  <c r="K26" i="1"/>
  <c r="H27" i="1" l="1"/>
  <c r="R26" i="1"/>
  <c r="T26" i="1"/>
  <c r="S26" i="1" l="1"/>
  <c r="U26" i="1"/>
  <c r="I27" i="1"/>
  <c r="K27" i="1"/>
  <c r="R27" i="1" l="1"/>
  <c r="H28" i="1"/>
  <c r="T27" i="1"/>
  <c r="U27" i="1" l="1"/>
  <c r="S27" i="1"/>
  <c r="K28" i="1"/>
  <c r="I28" i="1"/>
  <c r="R28" i="1" l="1"/>
  <c r="H29" i="1"/>
  <c r="T28" i="1"/>
  <c r="U28" i="1" l="1"/>
  <c r="S28" i="1"/>
  <c r="K29" i="1"/>
  <c r="I29" i="1"/>
  <c r="H30" i="1" l="1"/>
  <c r="R29" i="1"/>
  <c r="T29" i="1"/>
  <c r="S29" i="1" l="1"/>
  <c r="U29" i="1"/>
  <c r="I30" i="1"/>
  <c r="K30" i="1"/>
  <c r="H31" i="1" l="1"/>
  <c r="R30" i="1"/>
  <c r="T30" i="1"/>
  <c r="S30" i="1" l="1"/>
  <c r="U30" i="1"/>
  <c r="I31" i="1"/>
  <c r="K31" i="1"/>
  <c r="H32" i="1" l="1"/>
  <c r="R31" i="1"/>
  <c r="T31" i="1"/>
  <c r="U31" i="1" l="1"/>
  <c r="S31" i="1"/>
  <c r="I32" i="1"/>
  <c r="K32" i="1"/>
  <c r="H33" i="1" l="1"/>
  <c r="R32" i="1"/>
  <c r="T32" i="1"/>
  <c r="U32" i="1" l="1"/>
  <c r="S32" i="1"/>
  <c r="I33" i="1"/>
  <c r="K33" i="1"/>
  <c r="H34" i="1" l="1"/>
  <c r="R33" i="1"/>
  <c r="T33" i="1"/>
  <c r="S33" i="1" l="1"/>
  <c r="U33" i="1"/>
  <c r="I34" i="1"/>
  <c r="K34" i="1"/>
  <c r="H35" i="1" l="1"/>
  <c r="R34" i="1"/>
  <c r="T34" i="1"/>
  <c r="S34" i="1" l="1"/>
  <c r="U34" i="1"/>
  <c r="I35" i="1"/>
  <c r="K35" i="1"/>
  <c r="H36" i="1" l="1"/>
  <c r="R35" i="1"/>
  <c r="T35" i="1"/>
  <c r="U35" i="1" l="1"/>
  <c r="S35" i="1"/>
  <c r="I36" i="1"/>
  <c r="K36" i="1"/>
  <c r="H37" i="1" l="1"/>
  <c r="R36" i="1"/>
  <c r="T36" i="1"/>
  <c r="S36" i="1" l="1"/>
  <c r="U36" i="1"/>
  <c r="I37" i="1"/>
  <c r="K37" i="1"/>
  <c r="H38" i="1" l="1"/>
  <c r="R37" i="1"/>
  <c r="T37" i="1"/>
  <c r="S37" i="1" l="1"/>
  <c r="U37" i="1"/>
  <c r="I38" i="1"/>
  <c r="K38" i="1"/>
  <c r="H39" i="1" l="1"/>
  <c r="R38" i="1"/>
  <c r="T38" i="1"/>
  <c r="S38" i="1" l="1"/>
  <c r="U38" i="1"/>
  <c r="I39" i="1"/>
  <c r="K39" i="1"/>
  <c r="H40" i="1" l="1"/>
  <c r="R39" i="1"/>
  <c r="T39" i="1"/>
  <c r="U39" i="1" l="1"/>
  <c r="S39" i="1"/>
  <c r="I40" i="1"/>
  <c r="K40" i="1"/>
  <c r="H41" i="1" l="1"/>
  <c r="R40" i="1"/>
  <c r="T40" i="1"/>
  <c r="U40" i="1" l="1"/>
  <c r="S40" i="1"/>
  <c r="I41" i="1"/>
  <c r="K41" i="1"/>
  <c r="H42" i="1" l="1"/>
  <c r="R41" i="1"/>
  <c r="T41" i="1"/>
  <c r="S41" i="1" l="1"/>
  <c r="U41" i="1"/>
  <c r="I42" i="1"/>
  <c r="K42" i="1"/>
  <c r="H43" i="1" l="1"/>
  <c r="R42" i="1"/>
  <c r="T42" i="1"/>
  <c r="S42" i="1" l="1"/>
  <c r="U42" i="1"/>
  <c r="I43" i="1"/>
  <c r="K43" i="1"/>
  <c r="H44" i="1" l="1"/>
  <c r="R43" i="1"/>
  <c r="T43" i="1"/>
  <c r="U43" i="1" l="1"/>
  <c r="S43" i="1"/>
  <c r="I44" i="1"/>
  <c r="K44" i="1"/>
  <c r="H45" i="1" l="1"/>
  <c r="R44" i="1"/>
  <c r="T44" i="1"/>
  <c r="S44" i="1" l="1"/>
  <c r="U44" i="1"/>
  <c r="I45" i="1"/>
  <c r="K45" i="1"/>
  <c r="H46" i="1" l="1"/>
  <c r="R45" i="1"/>
  <c r="T45" i="1"/>
  <c r="S45" i="1" l="1"/>
  <c r="U45" i="1"/>
  <c r="I46" i="1"/>
  <c r="K46" i="1"/>
  <c r="H47" i="1" l="1"/>
  <c r="R46" i="1"/>
  <c r="T46" i="1"/>
  <c r="S46" i="1" l="1"/>
  <c r="U46" i="1"/>
  <c r="I47" i="1"/>
  <c r="K47" i="1"/>
  <c r="H48" i="1" l="1"/>
  <c r="R47" i="1"/>
  <c r="T47" i="1"/>
  <c r="U47" i="1" l="1"/>
  <c r="S47" i="1"/>
  <c r="K48" i="1"/>
  <c r="I48" i="1"/>
  <c r="R48" i="1" l="1"/>
  <c r="H49" i="1"/>
  <c r="T48" i="1"/>
  <c r="S48" i="1" l="1"/>
  <c r="U48" i="1"/>
  <c r="I49" i="1"/>
  <c r="K49" i="1"/>
  <c r="H50" i="1" l="1"/>
  <c r="R49" i="1"/>
  <c r="T49" i="1"/>
  <c r="S49" i="1" l="1"/>
  <c r="U49" i="1"/>
  <c r="I50" i="1"/>
  <c r="K50" i="1"/>
  <c r="H51" i="1" l="1"/>
  <c r="R50" i="1"/>
  <c r="T50" i="1"/>
  <c r="S50" i="1" l="1"/>
  <c r="U50" i="1"/>
  <c r="I51" i="1"/>
  <c r="K51" i="1"/>
  <c r="H52" i="1" l="1"/>
  <c r="R51" i="1"/>
  <c r="T51" i="1"/>
  <c r="U51" i="1" l="1"/>
  <c r="S51" i="1"/>
  <c r="I52" i="1"/>
  <c r="K52" i="1"/>
  <c r="H53" i="1" l="1"/>
  <c r="R52" i="1"/>
  <c r="T52" i="1"/>
  <c r="S52" i="1" l="1"/>
  <c r="U52" i="1"/>
  <c r="I53" i="1"/>
  <c r="K53" i="1"/>
  <c r="H54" i="1" l="1"/>
  <c r="R53" i="1"/>
  <c r="T53" i="1"/>
  <c r="S53" i="1" l="1"/>
  <c r="U53" i="1"/>
  <c r="I54" i="1"/>
  <c r="K54" i="1"/>
  <c r="R54" i="1" l="1"/>
  <c r="H55" i="1"/>
  <c r="T54" i="1"/>
  <c r="S54" i="1" l="1"/>
  <c r="U54" i="1"/>
  <c r="K55" i="1"/>
  <c r="I55" i="1"/>
  <c r="H56" i="1" l="1"/>
  <c r="R55" i="1"/>
  <c r="T55" i="1"/>
  <c r="U55" i="1" l="1"/>
  <c r="S55" i="1"/>
  <c r="I56" i="1"/>
  <c r="K56" i="1"/>
  <c r="H57" i="1" l="1"/>
  <c r="I57" i="1" s="1"/>
  <c r="R56" i="1"/>
  <c r="T56" i="1"/>
  <c r="K57" i="1" l="1"/>
  <c r="U56" i="1"/>
  <c r="S56" i="1"/>
  <c r="H58" i="1"/>
  <c r="S57" i="1"/>
  <c r="U57" i="1"/>
  <c r="T57" i="1" l="1"/>
  <c r="R57" i="1"/>
  <c r="I58" i="1"/>
  <c r="K58" i="1"/>
  <c r="H59" i="1" l="1"/>
  <c r="R58" i="1"/>
  <c r="T58" i="1"/>
  <c r="S58" i="1" l="1"/>
  <c r="U58" i="1"/>
  <c r="I59" i="1"/>
  <c r="K59" i="1"/>
  <c r="H60" i="1" l="1"/>
  <c r="R59" i="1"/>
  <c r="T59" i="1"/>
  <c r="U59" i="1" l="1"/>
  <c r="S59" i="1"/>
  <c r="I60" i="1"/>
  <c r="K60" i="1"/>
  <c r="H61" i="1" l="1"/>
  <c r="R60" i="1"/>
  <c r="T60" i="1"/>
  <c r="S60" i="1" l="1"/>
  <c r="U60" i="1"/>
  <c r="I61" i="1"/>
  <c r="K61" i="1"/>
  <c r="H62" i="1" l="1"/>
  <c r="R61" i="1"/>
  <c r="T61" i="1"/>
  <c r="U61" i="1" l="1"/>
  <c r="S61" i="1"/>
  <c r="I62" i="1"/>
  <c r="K62" i="1"/>
  <c r="H63" i="1" l="1"/>
  <c r="R62" i="1"/>
  <c r="T62" i="1"/>
  <c r="S62" i="1" l="1"/>
  <c r="U62" i="1"/>
  <c r="I63" i="1"/>
  <c r="K63" i="1"/>
  <c r="H64" i="1" l="1"/>
  <c r="R63" i="1"/>
  <c r="T63" i="1"/>
  <c r="U63" i="1" l="1"/>
  <c r="S63" i="1"/>
  <c r="I64" i="1"/>
  <c r="K64" i="1"/>
  <c r="H65" i="1" l="1"/>
  <c r="R64" i="1"/>
  <c r="T64" i="1"/>
  <c r="U64" i="1" l="1"/>
  <c r="S64" i="1"/>
  <c r="I65" i="1"/>
  <c r="K65" i="1"/>
  <c r="H66" i="1" l="1"/>
  <c r="T65" i="1"/>
  <c r="R65" i="1"/>
  <c r="U65" i="1" l="1"/>
  <c r="S65" i="1"/>
  <c r="I66" i="1"/>
  <c r="K66" i="1"/>
  <c r="H67" i="1" l="1"/>
  <c r="R66" i="1"/>
  <c r="T66" i="1"/>
  <c r="S66" i="1" l="1"/>
  <c r="U66" i="1"/>
  <c r="I67" i="1"/>
  <c r="K67" i="1"/>
  <c r="H68" i="1" l="1"/>
  <c r="R67" i="1"/>
  <c r="T67" i="1"/>
  <c r="U67" i="1" l="1"/>
  <c r="S67" i="1"/>
  <c r="I68" i="1"/>
  <c r="K68" i="1"/>
  <c r="H69" i="1" l="1"/>
  <c r="R68" i="1"/>
  <c r="T68" i="1"/>
  <c r="S68" i="1" l="1"/>
  <c r="U68" i="1"/>
  <c r="I69" i="1"/>
  <c r="K69" i="1"/>
  <c r="H70" i="1" l="1"/>
  <c r="R69" i="1"/>
  <c r="T69" i="1"/>
  <c r="S69" i="1" l="1"/>
  <c r="U69" i="1"/>
  <c r="I70" i="1"/>
  <c r="K70" i="1"/>
  <c r="H71" i="1" l="1"/>
  <c r="R70" i="1"/>
  <c r="T70" i="1"/>
  <c r="S70" i="1" l="1"/>
  <c r="U70" i="1"/>
  <c r="I71" i="1"/>
  <c r="K71" i="1"/>
  <c r="H72" i="1" l="1"/>
  <c r="T71" i="1"/>
  <c r="R71" i="1"/>
  <c r="U71" i="1" l="1"/>
  <c r="S71" i="1"/>
  <c r="I72" i="1"/>
  <c r="K72" i="1"/>
  <c r="H73" i="1" l="1"/>
  <c r="R72" i="1"/>
  <c r="T72" i="1"/>
  <c r="U72" i="1" l="1"/>
  <c r="S72" i="1"/>
  <c r="I73" i="1"/>
  <c r="K73" i="1"/>
  <c r="H74" i="1" l="1"/>
  <c r="R73" i="1"/>
  <c r="T73" i="1"/>
  <c r="U73" i="1" l="1"/>
  <c r="S73" i="1"/>
  <c r="I74" i="1"/>
  <c r="K74" i="1"/>
  <c r="H75" i="1" l="1"/>
  <c r="R74" i="1"/>
  <c r="T74" i="1"/>
  <c r="S74" i="1" l="1"/>
  <c r="U74" i="1"/>
  <c r="I75" i="1"/>
  <c r="K75" i="1"/>
  <c r="H76" i="1" l="1"/>
  <c r="R75" i="1"/>
  <c r="T75" i="1"/>
  <c r="U75" i="1" l="1"/>
  <c r="S75" i="1"/>
  <c r="I76" i="1"/>
  <c r="K76" i="1"/>
  <c r="H77" i="1" l="1"/>
  <c r="R76" i="1"/>
  <c r="T76" i="1"/>
  <c r="S76" i="1" l="1"/>
  <c r="U76" i="1"/>
  <c r="I77" i="1"/>
  <c r="K77" i="1"/>
  <c r="H78" i="1" l="1"/>
  <c r="T77" i="1"/>
  <c r="R77" i="1"/>
  <c r="U77" i="1" l="1"/>
  <c r="S77" i="1"/>
  <c r="I78" i="1"/>
  <c r="K78" i="1"/>
  <c r="H79" i="1" l="1"/>
  <c r="R78" i="1"/>
  <c r="T78" i="1"/>
  <c r="S78" i="1" l="1"/>
  <c r="U78" i="1"/>
  <c r="I79" i="1"/>
  <c r="K79" i="1"/>
  <c r="H80" i="1" l="1"/>
  <c r="R79" i="1"/>
  <c r="T79" i="1"/>
  <c r="U79" i="1" l="1"/>
  <c r="S79" i="1"/>
  <c r="I80" i="1"/>
  <c r="K80" i="1"/>
  <c r="H81" i="1" l="1"/>
  <c r="R80" i="1"/>
  <c r="T80" i="1"/>
  <c r="U80" i="1" l="1"/>
  <c r="S80" i="1"/>
  <c r="I81" i="1"/>
  <c r="K81" i="1"/>
  <c r="H82" i="1" l="1"/>
  <c r="R81" i="1"/>
  <c r="T81" i="1"/>
  <c r="S81" i="1" l="1"/>
  <c r="U81" i="1"/>
  <c r="I82" i="1"/>
  <c r="K82" i="1"/>
  <c r="H83" i="1" l="1"/>
  <c r="R82" i="1"/>
  <c r="T82" i="1"/>
  <c r="S82" i="1" l="1"/>
  <c r="U82" i="1"/>
  <c r="I83" i="1"/>
  <c r="K83" i="1"/>
  <c r="H84" i="1" l="1"/>
  <c r="R83" i="1"/>
  <c r="T83" i="1"/>
  <c r="U83" i="1" l="1"/>
  <c r="S83" i="1"/>
  <c r="I84" i="1"/>
  <c r="K84" i="1"/>
  <c r="H85" i="1" l="1"/>
  <c r="R84" i="1"/>
  <c r="T84" i="1"/>
  <c r="S84" i="1" l="1"/>
  <c r="U84" i="1"/>
  <c r="I85" i="1"/>
  <c r="K85" i="1"/>
  <c r="H86" i="1" l="1"/>
  <c r="R85" i="1"/>
  <c r="T85" i="1"/>
  <c r="S85" i="1" l="1"/>
  <c r="U85" i="1"/>
  <c r="I86" i="1"/>
  <c r="K86" i="1"/>
  <c r="H87" i="1" l="1"/>
  <c r="R86" i="1"/>
  <c r="T86" i="1"/>
  <c r="S86" i="1" l="1"/>
  <c r="U86" i="1"/>
  <c r="I87" i="1"/>
  <c r="K87" i="1"/>
  <c r="H88" i="1" l="1"/>
  <c r="R87" i="1"/>
  <c r="T87" i="1"/>
  <c r="U87" i="1" l="1"/>
  <c r="S87" i="1"/>
  <c r="I88" i="1"/>
  <c r="K88" i="1"/>
  <c r="H89" i="1" l="1"/>
  <c r="R88" i="1"/>
  <c r="T88" i="1"/>
  <c r="U88" i="1" l="1"/>
  <c r="S88" i="1"/>
  <c r="I89" i="1"/>
  <c r="K89" i="1"/>
  <c r="H90" i="1" l="1"/>
  <c r="R89" i="1"/>
  <c r="T89" i="1"/>
  <c r="U89" i="1" l="1"/>
  <c r="S89" i="1"/>
  <c r="I90" i="1"/>
  <c r="K90" i="1"/>
  <c r="H91" i="1" l="1"/>
  <c r="R90" i="1"/>
  <c r="T90" i="1"/>
  <c r="S90" i="1" l="1"/>
  <c r="U90" i="1"/>
  <c r="I91" i="1"/>
  <c r="K91" i="1"/>
  <c r="H92" i="1" l="1"/>
  <c r="R91" i="1"/>
  <c r="T91" i="1"/>
  <c r="U91" i="1" l="1"/>
  <c r="S91" i="1"/>
  <c r="I92" i="1"/>
  <c r="K92" i="1"/>
  <c r="H93" i="1" l="1"/>
  <c r="R92" i="1"/>
  <c r="T92" i="1"/>
  <c r="S92" i="1" l="1"/>
  <c r="U92" i="1"/>
  <c r="I93" i="1"/>
  <c r="K93" i="1"/>
  <c r="H94" i="1" l="1"/>
  <c r="R93" i="1"/>
  <c r="T93" i="1"/>
  <c r="S93" i="1" l="1"/>
  <c r="U93" i="1"/>
  <c r="I94" i="1"/>
  <c r="K94" i="1"/>
  <c r="H95" i="1" l="1"/>
  <c r="R94" i="1"/>
  <c r="T94" i="1"/>
  <c r="S94" i="1" l="1"/>
  <c r="U94" i="1"/>
  <c r="I95" i="1"/>
  <c r="K95" i="1"/>
  <c r="H96" i="1" l="1"/>
  <c r="T95" i="1"/>
  <c r="R95" i="1"/>
  <c r="U95" i="1" l="1"/>
  <c r="S95" i="1"/>
  <c r="I96" i="1"/>
  <c r="K96" i="1"/>
  <c r="H97" i="1" l="1"/>
  <c r="T96" i="1"/>
  <c r="R96" i="1"/>
  <c r="U96" i="1" l="1"/>
  <c r="S96" i="1"/>
  <c r="I97" i="1"/>
  <c r="K97" i="1"/>
  <c r="H98" i="1" l="1"/>
  <c r="R97" i="1"/>
  <c r="T97" i="1"/>
  <c r="U97" i="1" l="1"/>
  <c r="S97" i="1"/>
  <c r="I98" i="1"/>
  <c r="K98" i="1"/>
  <c r="H99" i="1" l="1"/>
  <c r="R98" i="1"/>
  <c r="T98" i="1"/>
  <c r="S98" i="1" l="1"/>
  <c r="U98" i="1"/>
  <c r="I99" i="1"/>
  <c r="K99" i="1"/>
  <c r="H100" i="1" l="1"/>
  <c r="R99" i="1"/>
  <c r="T99" i="1"/>
  <c r="S99" i="1" l="1"/>
  <c r="U99" i="1"/>
  <c r="I100" i="1"/>
  <c r="K100" i="1"/>
  <c r="H101" i="1" l="1"/>
  <c r="R100" i="1"/>
  <c r="T100" i="1"/>
  <c r="U100" i="1" l="1"/>
  <c r="S100" i="1"/>
  <c r="I101" i="1"/>
  <c r="K101" i="1"/>
  <c r="H102" i="1" l="1"/>
  <c r="R101" i="1"/>
  <c r="T101" i="1"/>
  <c r="S101" i="1" l="1"/>
  <c r="U101" i="1"/>
  <c r="I102" i="1"/>
  <c r="K102" i="1"/>
  <c r="H103" i="1" l="1"/>
  <c r="R102" i="1"/>
  <c r="T102" i="1"/>
  <c r="S102" i="1" l="1"/>
  <c r="U102" i="1"/>
  <c r="I103" i="1"/>
  <c r="K103" i="1"/>
  <c r="H104" i="1" l="1"/>
  <c r="R103" i="1"/>
  <c r="T103" i="1"/>
  <c r="U103" i="1" l="1"/>
  <c r="S103" i="1"/>
  <c r="I104" i="1"/>
  <c r="K104" i="1"/>
  <c r="H105" i="1" l="1"/>
  <c r="R104" i="1"/>
  <c r="T104" i="1"/>
  <c r="U104" i="1" l="1"/>
  <c r="S104" i="1"/>
  <c r="I105" i="1"/>
  <c r="K105" i="1"/>
  <c r="H106" i="1" l="1"/>
  <c r="R105" i="1"/>
  <c r="T105" i="1"/>
  <c r="S105" i="1" l="1"/>
  <c r="U105" i="1"/>
  <c r="I106" i="1"/>
  <c r="K106" i="1"/>
  <c r="H107" i="1" l="1"/>
  <c r="R106" i="1"/>
  <c r="T106" i="1"/>
  <c r="S106" i="1" l="1"/>
  <c r="U106" i="1"/>
  <c r="I107" i="1"/>
  <c r="K107" i="1"/>
  <c r="H108" i="1" l="1"/>
  <c r="R107" i="1"/>
  <c r="T107" i="1"/>
  <c r="U107" i="1" l="1"/>
  <c r="S107" i="1"/>
  <c r="I108" i="1"/>
  <c r="K108" i="1"/>
  <c r="H109" i="1" l="1"/>
  <c r="R108" i="1"/>
  <c r="T108" i="1"/>
  <c r="S108" i="1" l="1"/>
  <c r="U108" i="1"/>
  <c r="I109" i="1"/>
  <c r="K109" i="1"/>
  <c r="H110" i="1" l="1"/>
  <c r="R109" i="1"/>
  <c r="T109" i="1"/>
  <c r="U109" i="1" l="1"/>
  <c r="S109" i="1"/>
  <c r="I110" i="1"/>
  <c r="K110" i="1"/>
  <c r="H111" i="1" l="1"/>
  <c r="R110" i="1"/>
  <c r="T110" i="1"/>
  <c r="S110" i="1" l="1"/>
  <c r="U110" i="1"/>
  <c r="I111" i="1"/>
  <c r="K111" i="1"/>
  <c r="H112" i="1" l="1"/>
  <c r="R111" i="1"/>
  <c r="T111" i="1"/>
  <c r="U111" i="1" l="1"/>
  <c r="S111" i="1"/>
  <c r="I112" i="1"/>
  <c r="K112" i="1"/>
  <c r="H113" i="1" l="1"/>
  <c r="R112" i="1"/>
  <c r="T112" i="1"/>
  <c r="U112" i="1" l="1"/>
  <c r="S112" i="1"/>
  <c r="I113" i="1"/>
  <c r="K113" i="1"/>
  <c r="H114" i="1" l="1"/>
  <c r="R113" i="1"/>
  <c r="T113" i="1"/>
  <c r="S113" i="1" l="1"/>
  <c r="U113" i="1"/>
  <c r="I114" i="1"/>
  <c r="K114" i="1"/>
  <c r="H115" i="1" l="1"/>
  <c r="T114" i="1"/>
  <c r="R114" i="1"/>
  <c r="S114" i="1" l="1"/>
  <c r="U114" i="1"/>
  <c r="I115" i="1"/>
  <c r="K115" i="1"/>
  <c r="H116" i="1" l="1"/>
  <c r="R115" i="1"/>
  <c r="T115" i="1"/>
  <c r="S115" i="1" l="1"/>
  <c r="U115" i="1"/>
  <c r="I116" i="1"/>
  <c r="K116" i="1"/>
  <c r="H117" i="1" l="1"/>
  <c r="R116" i="1"/>
  <c r="T116" i="1"/>
  <c r="S116" i="1" l="1"/>
  <c r="U116" i="1"/>
  <c r="I117" i="1"/>
  <c r="K117" i="1"/>
  <c r="H118" i="1" l="1"/>
  <c r="R117" i="1"/>
  <c r="T117" i="1"/>
  <c r="U117" i="1" l="1"/>
  <c r="S117" i="1"/>
  <c r="I118" i="1"/>
  <c r="K118" i="1"/>
  <c r="H119" i="1" l="1"/>
  <c r="R118" i="1"/>
  <c r="T118" i="1"/>
  <c r="S118" i="1" l="1"/>
  <c r="U118" i="1"/>
  <c r="I119" i="1"/>
  <c r="K119" i="1"/>
  <c r="H120" i="1" l="1"/>
  <c r="R119" i="1"/>
  <c r="T119" i="1"/>
  <c r="U119" i="1" l="1"/>
  <c r="S119" i="1"/>
  <c r="I120" i="1"/>
  <c r="K120" i="1"/>
  <c r="H121" i="1" l="1"/>
  <c r="R120" i="1"/>
  <c r="T120" i="1"/>
  <c r="U120" i="1" l="1"/>
  <c r="S120" i="1"/>
  <c r="I121" i="1"/>
  <c r="K121" i="1"/>
  <c r="H122" i="1" l="1"/>
  <c r="R121" i="1"/>
  <c r="T121" i="1"/>
  <c r="U121" i="1" l="1"/>
  <c r="S121" i="1"/>
  <c r="I122" i="1"/>
  <c r="K122" i="1"/>
  <c r="H123" i="1" l="1"/>
  <c r="R122" i="1"/>
  <c r="T122" i="1"/>
  <c r="S122" i="1" l="1"/>
  <c r="U122" i="1"/>
  <c r="I123" i="1"/>
  <c r="K123" i="1"/>
  <c r="H124" i="1" l="1"/>
  <c r="R123" i="1"/>
  <c r="T123" i="1"/>
  <c r="U123" i="1" l="1"/>
  <c r="S123" i="1"/>
  <c r="I124" i="1"/>
  <c r="K124" i="1"/>
  <c r="H125" i="1" l="1"/>
  <c r="R124" i="1"/>
  <c r="T124" i="1"/>
  <c r="S124" i="1" l="1"/>
  <c r="U124" i="1"/>
  <c r="I125" i="1"/>
  <c r="K125" i="1"/>
  <c r="H126" i="1" l="1"/>
  <c r="R125" i="1"/>
  <c r="T125" i="1"/>
  <c r="U125" i="1" l="1"/>
  <c r="S125" i="1"/>
  <c r="I126" i="1"/>
  <c r="K126" i="1"/>
  <c r="H127" i="1" l="1"/>
  <c r="R126" i="1"/>
  <c r="T126" i="1"/>
  <c r="S126" i="1" l="1"/>
  <c r="U126" i="1"/>
  <c r="I127" i="1"/>
  <c r="K127" i="1"/>
  <c r="H128" i="1" l="1"/>
  <c r="R127" i="1"/>
  <c r="T127" i="1"/>
  <c r="U127" i="1" l="1"/>
  <c r="S127" i="1"/>
  <c r="I128" i="1"/>
  <c r="K128" i="1"/>
  <c r="R128" i="1" l="1"/>
  <c r="T128" i="1" l="1"/>
  <c r="T17" i="3" s="1" a="1"/>
  <c r="T17" i="3" s="1"/>
  <c r="U128" i="1"/>
  <c r="S128" i="1"/>
  <c r="U17" i="3" s="1" a="1"/>
  <c r="M98" i="3" l="1"/>
  <c r="M101" i="3"/>
  <c r="W100" i="3"/>
  <c r="W101" i="3"/>
  <c r="W102" i="3"/>
  <c r="M100" i="3"/>
  <c r="W99" i="3"/>
  <c r="M102" i="3"/>
  <c r="W98" i="3"/>
  <c r="M99" i="3"/>
  <c r="W18" i="3"/>
  <c r="W19" i="3"/>
  <c r="W43" i="3"/>
  <c r="W67" i="3"/>
  <c r="W91" i="3"/>
  <c r="W20" i="3"/>
  <c r="W44" i="3"/>
  <c r="W68" i="3"/>
  <c r="W92" i="3"/>
  <c r="W45" i="3"/>
  <c r="W69" i="3"/>
  <c r="W93" i="3"/>
  <c r="W22" i="3"/>
  <c r="W46" i="3"/>
  <c r="W70" i="3"/>
  <c r="W94" i="3"/>
  <c r="W23" i="3"/>
  <c r="W47" i="3"/>
  <c r="W71" i="3"/>
  <c r="W24" i="3"/>
  <c r="W48" i="3"/>
  <c r="W72" i="3"/>
  <c r="W26" i="3"/>
  <c r="W50" i="3"/>
  <c r="W74" i="3"/>
  <c r="W27" i="3"/>
  <c r="W51" i="3"/>
  <c r="W75" i="3"/>
  <c r="W28" i="3"/>
  <c r="W52" i="3"/>
  <c r="W76" i="3"/>
  <c r="W29" i="3"/>
  <c r="W53" i="3"/>
  <c r="W77" i="3"/>
  <c r="W78" i="3"/>
  <c r="W31" i="3"/>
  <c r="W55" i="3"/>
  <c r="W32" i="3"/>
  <c r="W56" i="3"/>
  <c r="W33" i="3"/>
  <c r="W57" i="3"/>
  <c r="W34" i="3"/>
  <c r="W82" i="3"/>
  <c r="W59" i="3"/>
  <c r="W83" i="3"/>
  <c r="W36" i="3"/>
  <c r="W37" i="3"/>
  <c r="W85" i="3"/>
  <c r="W62" i="3"/>
  <c r="W39" i="3"/>
  <c r="W63" i="3"/>
  <c r="W40" i="3"/>
  <c r="W88" i="3"/>
  <c r="W41" i="3"/>
  <c r="W65" i="3"/>
  <c r="W89" i="3"/>
  <c r="W66" i="3"/>
  <c r="W21" i="3"/>
  <c r="W95" i="3"/>
  <c r="W96" i="3"/>
  <c r="W25" i="3"/>
  <c r="W49" i="3"/>
  <c r="W73" i="3"/>
  <c r="W97" i="3"/>
  <c r="W30" i="3"/>
  <c r="W54" i="3"/>
  <c r="W79" i="3"/>
  <c r="W80" i="3"/>
  <c r="W81" i="3"/>
  <c r="W58" i="3"/>
  <c r="W35" i="3"/>
  <c r="W60" i="3"/>
  <c r="W84" i="3"/>
  <c r="W61" i="3"/>
  <c r="W38" i="3"/>
  <c r="W86" i="3"/>
  <c r="W87" i="3"/>
  <c r="W64" i="3"/>
  <c r="W42" i="3"/>
  <c r="W90" i="3"/>
  <c r="M89" i="3"/>
  <c r="M91" i="3"/>
  <c r="M94" i="3"/>
  <c r="M96" i="3"/>
  <c r="M97" i="3"/>
  <c r="M90" i="3"/>
  <c r="M93" i="3"/>
  <c r="M95" i="3"/>
  <c r="M92" i="3"/>
  <c r="M88" i="3"/>
  <c r="M48" i="3"/>
  <c r="N48" i="3" s="1"/>
  <c r="M72" i="3"/>
  <c r="N72" i="3" s="1"/>
  <c r="M49" i="3"/>
  <c r="M73" i="3"/>
  <c r="N73" i="3" s="1"/>
  <c r="M57" i="3"/>
  <c r="N57" i="3" s="1"/>
  <c r="M85" i="3"/>
  <c r="N85" i="3" s="1"/>
  <c r="M87" i="3"/>
  <c r="N87" i="3" s="1"/>
  <c r="M50" i="3"/>
  <c r="N50" i="3" s="1"/>
  <c r="M74" i="3"/>
  <c r="N74" i="3" s="1"/>
  <c r="M54" i="3"/>
  <c r="M55" i="3"/>
  <c r="N55" i="3" s="1"/>
  <c r="M56" i="3"/>
  <c r="N56" i="3" s="1"/>
  <c r="M58" i="3"/>
  <c r="N58" i="3" s="1"/>
  <c r="M60" i="3"/>
  <c r="N60" i="3" s="1"/>
  <c r="M86" i="3"/>
  <c r="N86" i="3" s="1"/>
  <c r="M66" i="3"/>
  <c r="M68" i="3"/>
  <c r="M69" i="3"/>
  <c r="N69" i="3" s="1"/>
  <c r="M70" i="3"/>
  <c r="N70" i="3" s="1"/>
  <c r="O70" i="3" s="1"/>
  <c r="P70" i="3" s="1"/>
  <c r="M51" i="3"/>
  <c r="M75" i="3"/>
  <c r="M78" i="3"/>
  <c r="N78" i="3" s="1"/>
  <c r="M79" i="3"/>
  <c r="M81" i="3"/>
  <c r="N81" i="3" s="1"/>
  <c r="M82" i="3"/>
  <c r="M84" i="3"/>
  <c r="N84" i="3" s="1"/>
  <c r="O84" i="3" s="1"/>
  <c r="P84" i="3" s="1"/>
  <c r="M62" i="3"/>
  <c r="M64" i="3"/>
  <c r="N64" i="3" s="1"/>
  <c r="M67" i="3"/>
  <c r="N67" i="3" s="1"/>
  <c r="M47" i="3"/>
  <c r="M52" i="3"/>
  <c r="M76" i="3"/>
  <c r="M53" i="3"/>
  <c r="N53" i="3" s="1"/>
  <c r="M77" i="3"/>
  <c r="M80" i="3"/>
  <c r="M59" i="3"/>
  <c r="N59" i="3" s="1"/>
  <c r="M83" i="3"/>
  <c r="N83" i="3" s="1"/>
  <c r="M61" i="3"/>
  <c r="M63" i="3"/>
  <c r="M65" i="3"/>
  <c r="M46" i="3"/>
  <c r="N46" i="3" s="1"/>
  <c r="M71" i="3"/>
  <c r="N71" i="3" s="1"/>
  <c r="U17" i="3"/>
  <c r="M33" i="3"/>
  <c r="M37" i="3"/>
  <c r="M26" i="3"/>
  <c r="M30" i="3"/>
  <c r="N30" i="3" s="1"/>
  <c r="M34" i="3"/>
  <c r="M25" i="3"/>
  <c r="N25" i="3" s="1"/>
  <c r="M36" i="3"/>
  <c r="N36" i="3" s="1"/>
  <c r="M32" i="3"/>
  <c r="N32" i="3" s="1"/>
  <c r="M20" i="3"/>
  <c r="M42" i="3"/>
  <c r="N42" i="3" s="1"/>
  <c r="M43" i="3"/>
  <c r="N43" i="3" s="1"/>
  <c r="M29" i="3"/>
  <c r="N29" i="3" s="1"/>
  <c r="M45" i="3"/>
  <c r="N45" i="3" s="1"/>
  <c r="M28" i="3"/>
  <c r="N28" i="3" s="1"/>
  <c r="M38" i="3"/>
  <c r="N38" i="3" s="1"/>
  <c r="M27" i="3"/>
  <c r="N27" i="3" s="1"/>
  <c r="M18" i="3"/>
  <c r="M44" i="3"/>
  <c r="N44" i="3" s="1"/>
  <c r="M39" i="3"/>
  <c r="N39" i="3" s="1"/>
  <c r="M40" i="3"/>
  <c r="M41" i="3"/>
  <c r="N41" i="3" s="1"/>
  <c r="M21" i="3"/>
  <c r="N21" i="3" s="1"/>
  <c r="M24" i="3"/>
  <c r="N24" i="3" s="1"/>
  <c r="M31" i="3"/>
  <c r="N31" i="3" s="1"/>
  <c r="M35" i="3"/>
  <c r="N35" i="3" s="1"/>
  <c r="M19" i="3"/>
  <c r="M22" i="3"/>
  <c r="M23" i="3"/>
  <c r="N102" i="3" l="1"/>
  <c r="O102" i="3" s="1"/>
  <c r="N100" i="3"/>
  <c r="O100" i="3" s="1"/>
  <c r="N99" i="3"/>
  <c r="N101" i="3"/>
  <c r="N98" i="3"/>
  <c r="O98" i="3" s="1"/>
  <c r="W17" i="3"/>
  <c r="B7" i="6" s="1"/>
  <c r="N95" i="3"/>
  <c r="N93" i="3"/>
  <c r="O93" i="3" s="1"/>
  <c r="N92" i="3"/>
  <c r="N90" i="3"/>
  <c r="O90" i="3" s="1"/>
  <c r="N97" i="3"/>
  <c r="N96" i="3"/>
  <c r="O96" i="3" s="1"/>
  <c r="N94" i="3"/>
  <c r="N91" i="3"/>
  <c r="O91" i="3" s="1"/>
  <c r="N89" i="3"/>
  <c r="O89" i="3" s="1"/>
  <c r="Q84" i="3"/>
  <c r="Q70" i="3"/>
  <c r="N66" i="3"/>
  <c r="N19" i="3"/>
  <c r="N82" i="3"/>
  <c r="N77" i="3"/>
  <c r="N52" i="3"/>
  <c r="N37" i="3"/>
  <c r="N33" i="3"/>
  <c r="N76" i="3"/>
  <c r="N79" i="3"/>
  <c r="N40" i="3"/>
  <c r="N18" i="3"/>
  <c r="N47" i="3"/>
  <c r="N80" i="3"/>
  <c r="N22" i="3"/>
  <c r="N65" i="3"/>
  <c r="N51" i="3"/>
  <c r="N54" i="3"/>
  <c r="N62" i="3"/>
  <c r="N88" i="3"/>
  <c r="N34" i="3"/>
  <c r="N23" i="3"/>
  <c r="N26" i="3"/>
  <c r="N75" i="3"/>
  <c r="N49" i="3"/>
  <c r="N63" i="3"/>
  <c r="N61" i="3"/>
  <c r="N20" i="3"/>
  <c r="N68" i="3"/>
  <c r="M17" i="3"/>
  <c r="N17" i="3" s="1"/>
  <c r="O17" i="3" s="1"/>
  <c r="O86" i="3" l="1"/>
  <c r="O30" i="3"/>
  <c r="O44" i="3"/>
  <c r="O72" i="3"/>
  <c r="O58" i="3"/>
  <c r="O48" i="3"/>
  <c r="O56" i="3"/>
  <c r="O42" i="3"/>
  <c r="O28" i="3"/>
  <c r="O35" i="3"/>
  <c r="O21" i="3"/>
  <c r="O92" i="3"/>
  <c r="Q92" i="3" s="1"/>
  <c r="O97" i="3"/>
  <c r="P97" i="3" s="1"/>
  <c r="J97" i="3" s="1"/>
  <c r="O83" i="3"/>
  <c r="O69" i="3"/>
  <c r="P96" i="3"/>
  <c r="J96" i="3" s="1"/>
  <c r="P17" i="3"/>
  <c r="E17" i="3" s="1"/>
  <c r="P91" i="3"/>
  <c r="J91" i="3" s="1"/>
  <c r="P98" i="3"/>
  <c r="J98" i="3" s="1"/>
  <c r="P100" i="3"/>
  <c r="J100" i="3" s="1"/>
  <c r="P89" i="3"/>
  <c r="J89" i="3" s="1"/>
  <c r="P102" i="3"/>
  <c r="J102" i="3" s="1"/>
  <c r="P93" i="3"/>
  <c r="J93" i="3" s="1"/>
  <c r="O55" i="3"/>
  <c r="O41" i="3"/>
  <c r="P90" i="3"/>
  <c r="J90" i="3" s="1"/>
  <c r="O27" i="3"/>
  <c r="O99" i="3"/>
  <c r="O101" i="3"/>
  <c r="Q98" i="3"/>
  <c r="Q100" i="3"/>
  <c r="Q102" i="3"/>
  <c r="O46" i="3"/>
  <c r="P46" i="3" s="1"/>
  <c r="O60" i="3"/>
  <c r="P60" i="3" s="1"/>
  <c r="O32" i="3"/>
  <c r="P32" i="3" s="1"/>
  <c r="O74" i="3"/>
  <c r="P74" i="3" s="1"/>
  <c r="O94" i="3"/>
  <c r="O81" i="3"/>
  <c r="P81" i="3" s="1"/>
  <c r="O39" i="3"/>
  <c r="P39" i="3" s="1"/>
  <c r="O95" i="3"/>
  <c r="O67" i="3"/>
  <c r="P67" i="3" s="1"/>
  <c r="O53" i="3"/>
  <c r="P53" i="3" s="1"/>
  <c r="O25" i="3"/>
  <c r="P25" i="3" s="1"/>
  <c r="D7" i="6" a="1"/>
  <c r="D7" i="6" s="1"/>
  <c r="B8" i="6"/>
  <c r="D8" i="6" s="1" a="1"/>
  <c r="D8" i="6" s="1"/>
  <c r="C7" i="6" a="1"/>
  <c r="C7" i="6" s="1"/>
  <c r="O24" i="3"/>
  <c r="P24" i="3" s="1"/>
  <c r="O38" i="3"/>
  <c r="P38" i="3" s="1"/>
  <c r="Q91" i="3"/>
  <c r="O87" i="3"/>
  <c r="P87" i="3" s="1"/>
  <c r="O59" i="3"/>
  <c r="P59" i="3" s="1"/>
  <c r="O31" i="3"/>
  <c r="P31" i="3" s="1"/>
  <c r="O45" i="3"/>
  <c r="P45" i="3" s="1"/>
  <c r="O73" i="3"/>
  <c r="P73" i="3" s="1"/>
  <c r="Q90" i="3"/>
  <c r="Q93" i="3"/>
  <c r="Q89" i="3"/>
  <c r="Q96" i="3"/>
  <c r="O43" i="3"/>
  <c r="P43" i="3" s="1"/>
  <c r="O85" i="3"/>
  <c r="P85" i="3" s="1"/>
  <c r="O29" i="3"/>
  <c r="P29" i="3" s="1"/>
  <c r="O57" i="3"/>
  <c r="P57" i="3" s="1"/>
  <c r="O71" i="3"/>
  <c r="P71" i="3" s="1"/>
  <c r="Q17" i="3"/>
  <c r="O88" i="3"/>
  <c r="P88" i="3" s="1"/>
  <c r="O50" i="3"/>
  <c r="P50" i="3" s="1"/>
  <c r="O64" i="3"/>
  <c r="P64" i="3" s="1"/>
  <c r="O36" i="3"/>
  <c r="P36" i="3" s="1"/>
  <c r="O78" i="3"/>
  <c r="P78" i="3" s="1"/>
  <c r="O51" i="3"/>
  <c r="P51" i="3" s="1"/>
  <c r="O49" i="3"/>
  <c r="P49" i="3" s="1"/>
  <c r="O26" i="3"/>
  <c r="P26" i="3" s="1"/>
  <c r="O80" i="3"/>
  <c r="P80" i="3" s="1"/>
  <c r="O75" i="3"/>
  <c r="P75" i="3" s="1"/>
  <c r="O23" i="3"/>
  <c r="P23" i="3" s="1"/>
  <c r="O34" i="3"/>
  <c r="P34" i="3" s="1"/>
  <c r="O62" i="3"/>
  <c r="P62" i="3" s="1"/>
  <c r="O22" i="3"/>
  <c r="P22" i="3" s="1"/>
  <c r="O33" i="3"/>
  <c r="P33" i="3" s="1"/>
  <c r="O47" i="3"/>
  <c r="P47" i="3" s="1"/>
  <c r="O40" i="3"/>
  <c r="P40" i="3" s="1"/>
  <c r="O79" i="3"/>
  <c r="P79" i="3" s="1"/>
  <c r="O37" i="3"/>
  <c r="P37" i="3" s="1"/>
  <c r="O61" i="3"/>
  <c r="P61" i="3" s="1"/>
  <c r="O54" i="3"/>
  <c r="P54" i="3" s="1"/>
  <c r="O65" i="3"/>
  <c r="P65" i="3" s="1"/>
  <c r="O18" i="3"/>
  <c r="O76" i="3"/>
  <c r="P76" i="3" s="1"/>
  <c r="O52" i="3"/>
  <c r="P52" i="3" s="1"/>
  <c r="O68" i="3"/>
  <c r="P68" i="3" s="1"/>
  <c r="O77" i="3"/>
  <c r="P77" i="3" s="1"/>
  <c r="O20" i="3"/>
  <c r="P20" i="3" s="1"/>
  <c r="O82" i="3"/>
  <c r="P82" i="3" s="1"/>
  <c r="O19" i="3"/>
  <c r="P19" i="3" s="1"/>
  <c r="O63" i="3"/>
  <c r="P63" i="3" s="1"/>
  <c r="O66" i="3"/>
  <c r="P66" i="3" s="1"/>
  <c r="J70" i="3"/>
  <c r="J84" i="3"/>
  <c r="P58" i="3" l="1"/>
  <c r="J58" i="3" s="1"/>
  <c r="Q58" i="3"/>
  <c r="P72" i="3"/>
  <c r="J72" i="3" s="1"/>
  <c r="Q72" i="3"/>
  <c r="P44" i="3"/>
  <c r="J44" i="3" s="1"/>
  <c r="Q44" i="3"/>
  <c r="P30" i="3"/>
  <c r="J30" i="3" s="1"/>
  <c r="Q30" i="3"/>
  <c r="P86" i="3"/>
  <c r="J86" i="3" s="1"/>
  <c r="Q86" i="3"/>
  <c r="P92" i="3"/>
  <c r="J92" i="3" s="1"/>
  <c r="P48" i="3"/>
  <c r="J48" i="3" s="1"/>
  <c r="Q48" i="3"/>
  <c r="Q97" i="3"/>
  <c r="P28" i="3"/>
  <c r="Q28" i="3"/>
  <c r="P42" i="3"/>
  <c r="Q42" i="3"/>
  <c r="P56" i="3"/>
  <c r="J56" i="3" s="1"/>
  <c r="Q56" i="3"/>
  <c r="P21" i="3"/>
  <c r="Q21" i="3"/>
  <c r="P35" i="3"/>
  <c r="Q35" i="3"/>
  <c r="P69" i="3"/>
  <c r="J69" i="3" s="1"/>
  <c r="Q69" i="3"/>
  <c r="P83" i="3"/>
  <c r="J83" i="3" s="1"/>
  <c r="Q83" i="3"/>
  <c r="P95" i="3"/>
  <c r="J95" i="3" s="1"/>
  <c r="P55" i="3"/>
  <c r="J55" i="3" s="1"/>
  <c r="Q55" i="3"/>
  <c r="P94" i="3"/>
  <c r="J94" i="3" s="1"/>
  <c r="P18" i="3"/>
  <c r="E18" i="3" s="1"/>
  <c r="E19" i="3" s="1"/>
  <c r="E20" i="3" s="1"/>
  <c r="P101" i="3"/>
  <c r="J101" i="3" s="1"/>
  <c r="P41" i="3"/>
  <c r="J41" i="3" s="1"/>
  <c r="Q41" i="3"/>
  <c r="P99" i="3"/>
  <c r="J99" i="3" s="1"/>
  <c r="P27" i="3"/>
  <c r="J27" i="3" s="1"/>
  <c r="Q27" i="3"/>
  <c r="Q99" i="3"/>
  <c r="Q101" i="3"/>
  <c r="Q95" i="3"/>
  <c r="Q74" i="3"/>
  <c r="Q32" i="3"/>
  <c r="Q60" i="3"/>
  <c r="Q46" i="3"/>
  <c r="Q94" i="3"/>
  <c r="Q25" i="3"/>
  <c r="Q53" i="3"/>
  <c r="Q67" i="3"/>
  <c r="Q39" i="3"/>
  <c r="Q81" i="3"/>
  <c r="C8" i="6" a="1"/>
  <c r="C8" i="6" s="1"/>
  <c r="B9" i="6"/>
  <c r="D9" i="6" s="1" a="1"/>
  <c r="D9" i="6" s="1"/>
  <c r="Q38" i="3"/>
  <c r="Q24" i="3"/>
  <c r="Q73" i="3"/>
  <c r="Q45" i="3"/>
  <c r="Q31" i="3"/>
  <c r="Q59" i="3"/>
  <c r="Q87" i="3"/>
  <c r="Q71" i="3"/>
  <c r="J71" i="3"/>
  <c r="J57" i="3"/>
  <c r="Q57" i="3"/>
  <c r="Q29" i="3"/>
  <c r="J29" i="3"/>
  <c r="J85" i="3"/>
  <c r="Q85" i="3"/>
  <c r="J43" i="3"/>
  <c r="Q43" i="3"/>
  <c r="Q22" i="3"/>
  <c r="J22" i="3"/>
  <c r="Q65" i="3"/>
  <c r="J65" i="3"/>
  <c r="Q79" i="3"/>
  <c r="J79" i="3"/>
  <c r="Q54" i="3"/>
  <c r="J54" i="3"/>
  <c r="Q61" i="3"/>
  <c r="J61" i="3"/>
  <c r="Q37" i="3"/>
  <c r="J37" i="3"/>
  <c r="Q40" i="3"/>
  <c r="J40" i="3"/>
  <c r="Q47" i="3"/>
  <c r="J47" i="3"/>
  <c r="Q33" i="3"/>
  <c r="J33" i="3"/>
  <c r="Q62" i="3"/>
  <c r="J62" i="3"/>
  <c r="Q34" i="3"/>
  <c r="J34" i="3"/>
  <c r="Q23" i="3"/>
  <c r="J23" i="3"/>
  <c r="Q75" i="3"/>
  <c r="J75" i="3"/>
  <c r="Q80" i="3"/>
  <c r="J80" i="3"/>
  <c r="Q66" i="3"/>
  <c r="J66" i="3"/>
  <c r="Q26" i="3"/>
  <c r="J26" i="3"/>
  <c r="Q63" i="3"/>
  <c r="J63" i="3"/>
  <c r="Q49" i="3"/>
  <c r="J49" i="3"/>
  <c r="Q19" i="3"/>
  <c r="J19" i="3"/>
  <c r="Q51" i="3"/>
  <c r="Q82" i="3"/>
  <c r="J82" i="3"/>
  <c r="Q50" i="3"/>
  <c r="J50" i="3"/>
  <c r="Q36" i="3"/>
  <c r="J36" i="3"/>
  <c r="Q52" i="3"/>
  <c r="J52" i="3"/>
  <c r="Q88" i="3"/>
  <c r="J88" i="3"/>
  <c r="Q64" i="3"/>
  <c r="J64" i="3"/>
  <c r="Q78" i="3"/>
  <c r="J78" i="3"/>
  <c r="Q20" i="3"/>
  <c r="J20" i="3"/>
  <c r="Q77" i="3"/>
  <c r="J77" i="3"/>
  <c r="Q68" i="3"/>
  <c r="J68" i="3"/>
  <c r="Q76" i="3"/>
  <c r="J76" i="3"/>
  <c r="Q18" i="3"/>
  <c r="J51" i="3"/>
  <c r="J18" i="3" l="1"/>
  <c r="F18" i="3"/>
  <c r="G18" i="3" s="1"/>
  <c r="J81" i="3"/>
  <c r="J39" i="3"/>
  <c r="J67" i="3"/>
  <c r="J53" i="3"/>
  <c r="J25" i="3"/>
  <c r="E21" i="3"/>
  <c r="J74" i="3"/>
  <c r="J46" i="3"/>
  <c r="J60" i="3"/>
  <c r="J32" i="3"/>
  <c r="J24" i="3"/>
  <c r="J38" i="3"/>
  <c r="C9" i="6" a="1"/>
  <c r="C9" i="6" s="1"/>
  <c r="B10" i="6"/>
  <c r="D10" i="6" s="1" a="1"/>
  <c r="D10" i="6" s="1"/>
  <c r="J31" i="3"/>
  <c r="J42" i="3"/>
  <c r="J21" i="3"/>
  <c r="J73" i="3"/>
  <c r="J87" i="3"/>
  <c r="J59" i="3"/>
  <c r="J28" i="3"/>
  <c r="J35" i="3"/>
  <c r="J45" i="3"/>
  <c r="J17" i="3"/>
  <c r="E22" i="3" l="1"/>
  <c r="C10" i="6" a="1"/>
  <c r="C10" i="6" s="1"/>
  <c r="B11" i="6"/>
  <c r="D11" i="6" s="1" a="1"/>
  <c r="D11" i="6" s="1"/>
  <c r="E23" i="3" l="1"/>
  <c r="B12" i="6"/>
  <c r="D12" i="6" s="1" a="1"/>
  <c r="D12" i="6" s="1"/>
  <c r="C11" i="6" a="1"/>
  <c r="C11" i="6" s="1"/>
  <c r="B13" i="6" l="1"/>
  <c r="D13" i="6" s="1" a="1"/>
  <c r="D13" i="6" s="1"/>
  <c r="C12" i="6" a="1"/>
  <c r="C12" i="6" s="1"/>
  <c r="E24" i="3"/>
  <c r="B14" i="6" l="1"/>
  <c r="D14" i="6" s="1" a="1"/>
  <c r="D14" i="6" s="1"/>
  <c r="C13" i="6" a="1"/>
  <c r="C13" i="6" s="1"/>
  <c r="E25" i="3"/>
  <c r="C14" i="6" l="1" a="1"/>
  <c r="C14" i="6" s="1"/>
  <c r="E14" i="6" s="1"/>
  <c r="E26" i="3"/>
  <c r="F14" i="6" l="1"/>
  <c r="G14" i="6" s="1"/>
  <c r="E27" i="3"/>
  <c r="E28" i="3" l="1"/>
  <c r="C17" i="3"/>
  <c r="B17" i="3"/>
  <c r="V17" i="3" a="1"/>
  <c r="V17" i="3" s="1"/>
  <c r="H17" i="3" l="1"/>
  <c r="L17" i="3" a="1"/>
  <c r="L17" i="3" s="1"/>
  <c r="E29" i="3"/>
  <c r="I17" i="3" l="1"/>
  <c r="K17" i="3" s="1"/>
  <c r="F17" i="3"/>
  <c r="G17" i="3" s="1"/>
  <c r="X17" i="3" s="1"/>
  <c r="D18" i="3" s="1"/>
  <c r="E30" i="3"/>
  <c r="F19" i="3" l="1"/>
  <c r="G19" i="3" s="1"/>
  <c r="X19" i="3" s="1"/>
  <c r="C18" i="3"/>
  <c r="E31" i="3"/>
  <c r="E32" i="3" s="1"/>
  <c r="B18" i="3"/>
  <c r="H18" i="3" l="1"/>
  <c r="L18" i="3" a="1"/>
  <c r="L18" i="3" s="1"/>
  <c r="E33" i="3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I18" i="3" l="1"/>
  <c r="X18" i="3"/>
  <c r="D19" i="3" s="1"/>
  <c r="K18" i="3" l="1"/>
  <c r="C19" i="3"/>
  <c r="E8" i="6"/>
  <c r="B19" i="3" l="1"/>
  <c r="H19" i="3" s="1"/>
  <c r="L19" i="3" l="1" a="1"/>
  <c r="L19" i="3" s="1"/>
  <c r="I19" i="3" s="1"/>
  <c r="D20" i="3" l="1"/>
  <c r="K19" i="3"/>
  <c r="E9" i="6"/>
  <c r="B20" i="3" l="1"/>
  <c r="C20" i="3"/>
  <c r="L20" i="3" s="1" a="1"/>
  <c r="L20" i="3" s="1"/>
  <c r="E10" i="6"/>
  <c r="H20" i="3" l="1"/>
  <c r="E11" i="6"/>
  <c r="I20" i="3"/>
  <c r="F20" i="3" s="1"/>
  <c r="G20" i="3" s="1"/>
  <c r="X20" i="3" s="1"/>
  <c r="D21" i="3" l="1"/>
  <c r="K20" i="3"/>
  <c r="E89" i="3" l="1"/>
  <c r="C21" i="3"/>
  <c r="B21" i="3"/>
  <c r="H21" i="3" l="1"/>
  <c r="L21" i="3" a="1"/>
  <c r="L21" i="3" s="1"/>
  <c r="E90" i="3"/>
  <c r="E91" i="3" l="1"/>
  <c r="I21" i="3"/>
  <c r="F21" i="3" l="1"/>
  <c r="G21" i="3" s="1"/>
  <c r="X21" i="3" s="1"/>
  <c r="E92" i="3"/>
  <c r="K21" i="3"/>
  <c r="D22" i="3" l="1"/>
  <c r="C22" i="3" s="1"/>
  <c r="E93" i="3"/>
  <c r="B22" i="3" l="1"/>
  <c r="H22" i="3" s="1"/>
  <c r="L22" i="3" a="1"/>
  <c r="L22" i="3" s="1"/>
  <c r="E94" i="3"/>
  <c r="E95" i="3" l="1"/>
  <c r="I22" i="3"/>
  <c r="F22" i="3" l="1"/>
  <c r="E96" i="3"/>
  <c r="K22" i="3"/>
  <c r="G22" i="3" l="1"/>
  <c r="X22" i="3" s="1"/>
  <c r="D23" i="3" s="1"/>
  <c r="E97" i="3"/>
  <c r="E98" i="3" s="1"/>
  <c r="B23" i="3" l="1"/>
  <c r="E99" i="3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" i="6"/>
  <c r="E13" i="6"/>
  <c r="C23" i="3" l="1"/>
  <c r="E126" i="3"/>
  <c r="E7" i="6" s="1"/>
  <c r="E17" i="6" s="1"/>
  <c r="L23" i="3" l="1" a="1"/>
  <c r="L23" i="3" s="1"/>
  <c r="I23" i="3" s="1"/>
  <c r="H23" i="3"/>
  <c r="K23" i="3" l="1"/>
  <c r="F23" i="3"/>
  <c r="F25" i="3" l="1"/>
  <c r="G25" i="3" s="1"/>
  <c r="X25" i="3" s="1"/>
  <c r="G23" i="3"/>
  <c r="X23" i="3" s="1"/>
  <c r="D24" i="3" s="1"/>
  <c r="C24" i="3" s="1"/>
  <c r="B24" i="3" l="1"/>
  <c r="H24" i="3" s="1"/>
  <c r="L24" i="3" a="1"/>
  <c r="L24" i="3" s="1"/>
  <c r="I24" i="3" s="1"/>
  <c r="K24" i="3" s="1"/>
  <c r="F24" i="3"/>
  <c r="G24" i="3" l="1"/>
  <c r="X24" i="3" s="1"/>
  <c r="D25" i="3" s="1"/>
  <c r="C25" i="3" l="1"/>
  <c r="B25" i="3" l="1"/>
  <c r="H25" i="3" s="1"/>
  <c r="L25" i="3" l="1" a="1"/>
  <c r="L25" i="3" s="1"/>
  <c r="I25" i="3" s="1"/>
  <c r="K25" i="3" l="1"/>
  <c r="D26" i="3"/>
  <c r="C26" i="3" l="1"/>
  <c r="B26" i="3"/>
  <c r="H26" i="3" s="1"/>
  <c r="L26" i="3" a="1"/>
  <c r="L26" i="3" s="1"/>
  <c r="F26" i="3"/>
  <c r="I26" i="3" l="1"/>
  <c r="K26" i="3" s="1"/>
  <c r="G26" i="3"/>
  <c r="X26" i="3" s="1"/>
  <c r="D27" i="3" s="1"/>
  <c r="C27" i="3" l="1"/>
  <c r="B27" i="3"/>
  <c r="H27" i="3" s="1"/>
  <c r="L27" i="3" l="1" a="1"/>
  <c r="L27" i="3" s="1"/>
  <c r="I27" i="3" s="1"/>
  <c r="F27" i="3" l="1"/>
  <c r="K27" i="3"/>
  <c r="G27" i="3" l="1"/>
  <c r="X27" i="3" s="1"/>
  <c r="D28" i="3" s="1"/>
  <c r="B28" i="3" l="1"/>
  <c r="C28" i="3"/>
  <c r="H28" i="3" s="1"/>
  <c r="L28" i="3" l="1" a="1"/>
  <c r="L28" i="3" s="1"/>
  <c r="I28" i="3" s="1"/>
  <c r="F28" i="3" s="1"/>
  <c r="G28" i="3" l="1"/>
  <c r="X28" i="3" s="1"/>
  <c r="D29" i="3"/>
  <c r="K28" i="3"/>
  <c r="B29" i="3" l="1"/>
  <c r="C29" i="3"/>
  <c r="H29" i="3" s="1"/>
  <c r="L29" i="3" l="1" a="1"/>
  <c r="L29" i="3" s="1"/>
  <c r="I29" i="3" l="1"/>
  <c r="K29" i="3" l="1"/>
  <c r="F29" i="3"/>
  <c r="F7" i="6" l="1"/>
  <c r="G7" i="6" s="1"/>
  <c r="G29" i="3"/>
  <c r="X29" i="3" s="1"/>
  <c r="D30" i="3" s="1"/>
  <c r="F31" i="3"/>
  <c r="C30" i="3" l="1"/>
  <c r="B30" i="3"/>
  <c r="G31" i="3"/>
  <c r="X31" i="3" s="1"/>
  <c r="H30" i="3" l="1"/>
  <c r="L30" i="3" a="1"/>
  <c r="L30" i="3" s="1"/>
  <c r="I30" i="3" l="1"/>
  <c r="F30" i="3" s="1"/>
  <c r="G30" i="3" l="1"/>
  <c r="X30" i="3" s="1"/>
  <c r="F32" i="3"/>
  <c r="G32" i="3" s="1"/>
  <c r="X32" i="3" s="1"/>
  <c r="F33" i="3"/>
  <c r="G33" i="3" s="1"/>
  <c r="X33" i="3" s="1"/>
  <c r="D31" i="3"/>
  <c r="K30" i="3"/>
  <c r="B31" i="3" l="1"/>
  <c r="C31" i="3"/>
  <c r="H31" i="3" s="1"/>
  <c r="L31" i="3" l="1" a="1"/>
  <c r="L31" i="3" s="1"/>
  <c r="I31" i="3" l="1"/>
  <c r="K31" i="3" l="1"/>
  <c r="D32" i="3"/>
  <c r="C32" i="3" l="1"/>
  <c r="B32" i="3"/>
  <c r="H32" i="3" l="1"/>
  <c r="L32" i="3" a="1"/>
  <c r="L32" i="3" s="1"/>
  <c r="I32" i="3" l="1"/>
  <c r="K32" i="3" l="1"/>
  <c r="D33" i="3"/>
  <c r="B33" i="3" l="1"/>
  <c r="C33" i="3"/>
  <c r="H33" i="3" s="1"/>
  <c r="L33" i="3" l="1" a="1"/>
  <c r="L33" i="3" s="1"/>
  <c r="I33" i="3" l="1"/>
  <c r="D34" i="3" l="1"/>
  <c r="K33" i="3"/>
  <c r="C34" i="3" l="1"/>
  <c r="B34" i="3"/>
  <c r="H34" i="3" l="1"/>
  <c r="L34" i="3" a="1"/>
  <c r="L34" i="3" s="1"/>
  <c r="I34" i="3" l="1"/>
  <c r="F34" i="3" s="1"/>
  <c r="G34" i="3" s="1"/>
  <c r="X34" i="3" s="1"/>
  <c r="D35" i="3" l="1"/>
  <c r="K34" i="3"/>
  <c r="B35" i="3" l="1"/>
  <c r="C35" i="3"/>
  <c r="H35" i="3" s="1"/>
  <c r="L35" i="3" l="1" a="1"/>
  <c r="L35" i="3" s="1"/>
  <c r="I35" i="3" l="1"/>
  <c r="F35" i="3" s="1"/>
  <c r="G35" i="3" l="1"/>
  <c r="X35" i="3" s="1"/>
  <c r="D36" i="3"/>
  <c r="K35" i="3"/>
  <c r="C36" i="3" l="1"/>
  <c r="B36" i="3"/>
  <c r="H36" i="3" l="1"/>
  <c r="L36" i="3" a="1"/>
  <c r="L36" i="3" s="1"/>
  <c r="I36" i="3" l="1"/>
  <c r="K36" i="3" l="1"/>
  <c r="F36" i="3"/>
  <c r="G36" i="3" l="1"/>
  <c r="X36" i="3" s="1"/>
  <c r="D37" i="3" s="1"/>
  <c r="F38" i="3"/>
  <c r="G38" i="3" s="1"/>
  <c r="X38" i="3" s="1"/>
  <c r="B37" i="3" l="1"/>
  <c r="C37" i="3"/>
  <c r="L37" i="3" s="1" a="1"/>
  <c r="L37" i="3" s="1"/>
  <c r="H37" i="3" l="1"/>
  <c r="I37" i="3" s="1"/>
  <c r="F37" i="3" l="1"/>
  <c r="K37" i="3"/>
  <c r="G37" i="3" l="1"/>
  <c r="X37" i="3" s="1"/>
  <c r="D38" i="3" s="1"/>
  <c r="F39" i="3"/>
  <c r="G39" i="3" s="1"/>
  <c r="X39" i="3" s="1"/>
  <c r="F40" i="3"/>
  <c r="G40" i="3" s="1"/>
  <c r="X40" i="3" s="1"/>
  <c r="B38" i="3" l="1"/>
  <c r="C38" i="3"/>
  <c r="H38" i="3" l="1"/>
  <c r="L38" i="3" a="1"/>
  <c r="L38" i="3" s="1"/>
  <c r="I38" i="3" s="1"/>
  <c r="K38" i="3" l="1"/>
  <c r="D39" i="3"/>
  <c r="C39" i="3" l="1"/>
  <c r="B39" i="3"/>
  <c r="H39" i="3" s="1"/>
  <c r="L39" i="3" l="1" a="1"/>
  <c r="L39" i="3" s="1"/>
  <c r="I39" i="3" s="1"/>
  <c r="K39" i="3" s="1"/>
  <c r="D40" i="3" l="1"/>
  <c r="C40" i="3" s="1"/>
  <c r="B40" i="3" l="1"/>
  <c r="L40" i="3" s="1" a="1"/>
  <c r="L40" i="3" s="1"/>
  <c r="H40" i="3"/>
  <c r="I40" i="3" l="1"/>
  <c r="K40" i="3"/>
  <c r="D41" i="3"/>
  <c r="B41" i="3" l="1"/>
  <c r="C41" i="3"/>
  <c r="H41" i="3" l="1"/>
  <c r="L41" i="3" a="1"/>
  <c r="L41" i="3" s="1"/>
  <c r="I41" i="3" s="1"/>
  <c r="F41" i="3" s="1"/>
  <c r="G41" i="3" s="1"/>
  <c r="X41" i="3" s="1"/>
  <c r="D42" i="3" s="1"/>
  <c r="K41" i="3" l="1"/>
  <c r="C42" i="3"/>
  <c r="B42" i="3"/>
  <c r="H42" i="3" l="1"/>
  <c r="L42" i="3" a="1"/>
  <c r="L42" i="3" s="1"/>
  <c r="I42" i="3" l="1"/>
  <c r="F42" i="3" s="1"/>
  <c r="G42" i="3" l="1"/>
  <c r="X42" i="3" s="1"/>
  <c r="K42" i="3"/>
  <c r="D43" i="3"/>
  <c r="B43" i="3" l="1"/>
  <c r="C43" i="3"/>
  <c r="H43" i="3" s="1"/>
  <c r="L43" i="3" l="1" a="1"/>
  <c r="L43" i="3" s="1"/>
  <c r="I43" i="3" l="1"/>
  <c r="F43" i="3" l="1"/>
  <c r="K43" i="3"/>
  <c r="F8" i="6" l="1"/>
  <c r="G8" i="6" s="1"/>
  <c r="G43" i="3"/>
  <c r="X43" i="3" s="1"/>
  <c r="D44" i="3" s="1"/>
  <c r="F45" i="3"/>
  <c r="G45" i="3" s="1"/>
  <c r="X45" i="3" s="1"/>
  <c r="C44" i="3" l="1"/>
  <c r="B44" i="3"/>
  <c r="H44" i="3" l="1"/>
  <c r="L44" i="3" a="1"/>
  <c r="L44" i="3" s="1"/>
  <c r="I44" i="3" l="1"/>
  <c r="F44" i="3" s="1"/>
  <c r="G44" i="3" l="1"/>
  <c r="X44" i="3" s="1"/>
  <c r="F46" i="3"/>
  <c r="G46" i="3" s="1"/>
  <c r="X46" i="3" s="1"/>
  <c r="F47" i="3"/>
  <c r="G47" i="3" s="1"/>
  <c r="X47" i="3" s="1"/>
  <c r="F48" i="3"/>
  <c r="G48" i="3" s="1"/>
  <c r="X48" i="3" s="1"/>
  <c r="D45" i="3"/>
  <c r="K44" i="3"/>
  <c r="C45" i="3" l="1"/>
  <c r="B45" i="3"/>
  <c r="H45" i="3" l="1"/>
  <c r="L45" i="3" a="1"/>
  <c r="L45" i="3" s="1"/>
  <c r="I45" i="3" l="1"/>
  <c r="K45" i="3" l="1"/>
  <c r="D46" i="3"/>
  <c r="B46" i="3" l="1"/>
  <c r="C46" i="3"/>
  <c r="H46" i="3" l="1"/>
  <c r="L46" i="3" a="1"/>
  <c r="L46" i="3" s="1"/>
  <c r="I46" i="3" l="1"/>
  <c r="K46" i="3" l="1"/>
  <c r="D47" i="3"/>
  <c r="C47" i="3" l="1"/>
  <c r="B47" i="3"/>
  <c r="H47" i="3" l="1"/>
  <c r="L47" i="3" a="1"/>
  <c r="L47" i="3" s="1"/>
  <c r="I47" i="3" l="1"/>
  <c r="D48" i="3" l="1"/>
  <c r="K47" i="3"/>
  <c r="B48" i="3" l="1"/>
  <c r="C48" i="3"/>
  <c r="H48" i="3" s="1"/>
  <c r="L48" i="3" l="1" a="1"/>
  <c r="L48" i="3" s="1"/>
  <c r="I48" i="3" l="1"/>
  <c r="D49" i="3" l="1"/>
  <c r="K48" i="3"/>
  <c r="C49" i="3" l="1"/>
  <c r="B49" i="3"/>
  <c r="H49" i="3" l="1"/>
  <c r="L49" i="3" a="1"/>
  <c r="L49" i="3" s="1"/>
  <c r="I49" i="3" l="1"/>
  <c r="F49" i="3" s="1"/>
  <c r="G49" i="3" l="1"/>
  <c r="X49" i="3" s="1"/>
  <c r="D50" i="3"/>
  <c r="K49" i="3"/>
  <c r="B50" i="3" l="1"/>
  <c r="C50" i="3"/>
  <c r="H50" i="3" s="1"/>
  <c r="L50" i="3" l="1" a="1"/>
  <c r="L50" i="3" s="1"/>
  <c r="I50" i="3" l="1"/>
  <c r="F50" i="3" l="1"/>
  <c r="K50" i="3"/>
  <c r="G50" i="3" l="1"/>
  <c r="X50" i="3" s="1"/>
  <c r="D51" i="3" s="1"/>
  <c r="F52" i="3"/>
  <c r="G52" i="3" s="1"/>
  <c r="X52" i="3" s="1"/>
  <c r="C51" i="3" l="1"/>
  <c r="B51" i="3"/>
  <c r="H51" i="3" l="1"/>
  <c r="L51" i="3" a="1"/>
  <c r="L51" i="3" s="1"/>
  <c r="I51" i="3" l="1"/>
  <c r="F51" i="3" s="1"/>
  <c r="G51" i="3" l="1"/>
  <c r="X51" i="3" s="1"/>
  <c r="F53" i="3"/>
  <c r="G53" i="3" s="1"/>
  <c r="X53" i="3" s="1"/>
  <c r="F54" i="3"/>
  <c r="G54" i="3" s="1"/>
  <c r="X54" i="3" s="1"/>
  <c r="F56" i="3"/>
  <c r="G56" i="3" s="1"/>
  <c r="X56" i="3" s="1"/>
  <c r="D52" i="3"/>
  <c r="K51" i="3"/>
  <c r="C52" i="3" l="1"/>
  <c r="B52" i="3"/>
  <c r="H52" i="3" l="1"/>
  <c r="L52" i="3" a="1"/>
  <c r="L52" i="3" s="1"/>
  <c r="I52" i="3" l="1"/>
  <c r="K52" i="3" l="1"/>
  <c r="D53" i="3"/>
  <c r="B53" i="3" l="1"/>
  <c r="C53" i="3"/>
  <c r="L53" i="3" s="1" a="1"/>
  <c r="L53" i="3" s="1"/>
  <c r="H53" i="3" l="1"/>
  <c r="I53" i="3" s="1"/>
  <c r="K53" i="3" l="1"/>
  <c r="D54" i="3"/>
  <c r="C54" i="3" l="1"/>
  <c r="B54" i="3"/>
  <c r="H54" i="3" l="1"/>
  <c r="L54" i="3" a="1"/>
  <c r="L54" i="3" s="1"/>
  <c r="I54" i="3" s="1"/>
  <c r="K54" i="3" l="1"/>
  <c r="D55" i="3"/>
  <c r="B55" i="3" l="1"/>
  <c r="C55" i="3"/>
  <c r="H55" i="3" s="1"/>
  <c r="L55" i="3" l="1" a="1"/>
  <c r="L55" i="3" s="1"/>
  <c r="I55" i="3" l="1"/>
  <c r="F55" i="3" s="1"/>
  <c r="G55" i="3" l="1"/>
  <c r="X55" i="3" s="1"/>
  <c r="K55" i="3"/>
  <c r="D56" i="3"/>
  <c r="C56" i="3" l="1"/>
  <c r="B56" i="3"/>
  <c r="H56" i="3" l="1"/>
  <c r="L56" i="3" a="1"/>
  <c r="L56" i="3" s="1"/>
  <c r="I56" i="3" l="1"/>
  <c r="D57" i="3" l="1"/>
  <c r="K56" i="3"/>
  <c r="B57" i="3" l="1"/>
  <c r="C57" i="3"/>
  <c r="H57" i="3" s="1"/>
  <c r="L57" i="3" l="1" a="1"/>
  <c r="L57" i="3" s="1"/>
  <c r="I57" i="3" l="1"/>
  <c r="K57" i="3" l="1"/>
  <c r="F57" i="3"/>
  <c r="F9" i="6" l="1"/>
  <c r="G9" i="6" s="1"/>
  <c r="G57" i="3"/>
  <c r="X57" i="3" s="1"/>
  <c r="D58" i="3" s="1"/>
  <c r="F59" i="3"/>
  <c r="G59" i="3" s="1"/>
  <c r="X59" i="3" s="1"/>
  <c r="C58" i="3" l="1"/>
  <c r="B58" i="3"/>
  <c r="H58" i="3" l="1"/>
  <c r="L58" i="3" a="1"/>
  <c r="L58" i="3" s="1"/>
  <c r="I58" i="3" l="1"/>
  <c r="F58" i="3" s="1"/>
  <c r="G58" i="3" l="1"/>
  <c r="X58" i="3" s="1"/>
  <c r="F60" i="3"/>
  <c r="G60" i="3" s="1"/>
  <c r="X60" i="3" s="1"/>
  <c r="F61" i="3"/>
  <c r="G61" i="3" s="1"/>
  <c r="X61" i="3" s="1"/>
  <c r="F62" i="3"/>
  <c r="G62" i="3" s="1"/>
  <c r="X62" i="3" s="1"/>
  <c r="D59" i="3"/>
  <c r="K58" i="3"/>
  <c r="B59" i="3" l="1"/>
  <c r="C59" i="3"/>
  <c r="H59" i="3" s="1"/>
  <c r="L59" i="3" l="1" a="1"/>
  <c r="L59" i="3" s="1"/>
  <c r="I59" i="3" l="1"/>
  <c r="K59" i="3" l="1"/>
  <c r="D60" i="3"/>
  <c r="C60" i="3" l="1"/>
  <c r="B60" i="3"/>
  <c r="H60" i="3" l="1"/>
  <c r="L60" i="3" a="1"/>
  <c r="L60" i="3" s="1"/>
  <c r="I60" i="3" l="1"/>
  <c r="K60" i="3" l="1"/>
  <c r="D61" i="3"/>
  <c r="B61" i="3" l="1"/>
  <c r="C61" i="3"/>
  <c r="H61" i="3" s="1"/>
  <c r="L61" i="3" l="1" a="1"/>
  <c r="L61" i="3" s="1"/>
  <c r="I61" i="3" l="1"/>
  <c r="D62" i="3" l="1"/>
  <c r="K61" i="3"/>
  <c r="C62" i="3" l="1"/>
  <c r="B62" i="3"/>
  <c r="H62" i="3" l="1"/>
  <c r="L62" i="3" a="1"/>
  <c r="L62" i="3" s="1"/>
  <c r="I62" i="3" l="1"/>
  <c r="D63" i="3" l="1"/>
  <c r="K62" i="3"/>
  <c r="B63" i="3" l="1"/>
  <c r="C63" i="3"/>
  <c r="H63" i="3" s="1"/>
  <c r="L63" i="3" l="1" a="1"/>
  <c r="L63" i="3" s="1"/>
  <c r="I63" i="3" l="1"/>
  <c r="F63" i="3" s="1"/>
  <c r="G63" i="3" l="1"/>
  <c r="X63" i="3" s="1"/>
  <c r="D64" i="3"/>
  <c r="K63" i="3"/>
  <c r="C64" i="3" l="1"/>
  <c r="B64" i="3"/>
  <c r="H64" i="3" l="1"/>
  <c r="L64" i="3" a="1"/>
  <c r="L64" i="3" s="1"/>
  <c r="I64" i="3" l="1"/>
  <c r="F64" i="3" l="1"/>
  <c r="K64" i="3"/>
  <c r="G64" i="3" l="1"/>
  <c r="X64" i="3" s="1"/>
  <c r="D65" i="3" s="1"/>
  <c r="B65" i="3" l="1"/>
  <c r="C65" i="3"/>
  <c r="H65" i="3" s="1"/>
  <c r="L65" i="3" l="1" a="1"/>
  <c r="L65" i="3" s="1"/>
  <c r="I65" i="3" l="1"/>
  <c r="F65" i="3" s="1"/>
  <c r="G65" i="3" l="1"/>
  <c r="X65" i="3" s="1"/>
  <c r="F67" i="3"/>
  <c r="G67" i="3" s="1"/>
  <c r="X67" i="3" s="1"/>
  <c r="K65" i="3"/>
  <c r="D66" i="3"/>
  <c r="C66" i="3" l="1"/>
  <c r="B66" i="3"/>
  <c r="H66" i="3" l="1"/>
  <c r="L66" i="3" a="1"/>
  <c r="L66" i="3" s="1"/>
  <c r="I66" i="3" l="1"/>
  <c r="F66" i="3" l="1"/>
  <c r="K66" i="3"/>
  <c r="G66" i="3" l="1"/>
  <c r="X66" i="3" s="1"/>
  <c r="D67" i="3" s="1"/>
  <c r="F68" i="3"/>
  <c r="F70" i="3" s="1"/>
  <c r="G70" i="3" l="1"/>
  <c r="X70" i="3" s="1"/>
  <c r="G68" i="3"/>
  <c r="X68" i="3" s="1"/>
  <c r="B67" i="3"/>
  <c r="C67" i="3"/>
  <c r="L67" i="3" s="1" a="1"/>
  <c r="L67" i="3" s="1"/>
  <c r="H67" i="3" l="1"/>
  <c r="I67" i="3" s="1"/>
  <c r="K67" i="3" l="1"/>
  <c r="D68" i="3"/>
  <c r="C68" i="3" l="1"/>
  <c r="B68" i="3"/>
  <c r="H68" i="3" l="1"/>
  <c r="L68" i="3" a="1"/>
  <c r="L68" i="3" s="1"/>
  <c r="I68" i="3" l="1"/>
  <c r="K68" i="3"/>
  <c r="D69" i="3"/>
  <c r="C69" i="3" l="1"/>
  <c r="B69" i="3"/>
  <c r="H69" i="3" l="1"/>
  <c r="L69" i="3" a="1"/>
  <c r="L69" i="3" s="1"/>
  <c r="I69" i="3" l="1"/>
  <c r="F69" i="3" s="1"/>
  <c r="G69" i="3" l="1"/>
  <c r="X69" i="3" s="1"/>
  <c r="K69" i="3"/>
  <c r="D70" i="3"/>
  <c r="B70" i="3" l="1"/>
  <c r="C70" i="3"/>
  <c r="H70" i="3" s="1"/>
  <c r="L70" i="3" l="1" a="1"/>
  <c r="L70" i="3" s="1"/>
  <c r="I70" i="3" l="1"/>
  <c r="D71" i="3" l="1"/>
  <c r="K70" i="3"/>
  <c r="C71" i="3" l="1"/>
  <c r="B71" i="3"/>
  <c r="H71" i="3" l="1"/>
  <c r="L71" i="3" a="1"/>
  <c r="L71" i="3" s="1"/>
  <c r="I71" i="3" l="1"/>
  <c r="F71" i="3" l="1"/>
  <c r="K71" i="3"/>
  <c r="F10" i="6" l="1"/>
  <c r="G10" i="6" s="1"/>
  <c r="G71" i="3"/>
  <c r="X71" i="3" s="1"/>
  <c r="D72" i="3" s="1"/>
  <c r="F73" i="3"/>
  <c r="G73" i="3" s="1"/>
  <c r="X73" i="3" s="1"/>
  <c r="B72" i="3" l="1"/>
  <c r="C72" i="3"/>
  <c r="H72" i="3" s="1"/>
  <c r="L72" i="3" l="1" a="1"/>
  <c r="L72" i="3" s="1"/>
  <c r="I72" i="3" l="1"/>
  <c r="F72" i="3" s="1"/>
  <c r="G72" i="3" l="1"/>
  <c r="X72" i="3" s="1"/>
  <c r="F74" i="3"/>
  <c r="G74" i="3" s="1"/>
  <c r="X74" i="3" s="1"/>
  <c r="F75" i="3"/>
  <c r="G75" i="3" s="1"/>
  <c r="X75" i="3" s="1"/>
  <c r="F76" i="3"/>
  <c r="G76" i="3" s="1"/>
  <c r="X76" i="3" s="1"/>
  <c r="D73" i="3"/>
  <c r="K72" i="3"/>
  <c r="C73" i="3" l="1"/>
  <c r="B73" i="3"/>
  <c r="H73" i="3" l="1"/>
  <c r="L73" i="3" a="1"/>
  <c r="L73" i="3" s="1"/>
  <c r="I73" i="3" l="1"/>
  <c r="K73" i="3" l="1"/>
  <c r="D74" i="3"/>
  <c r="B74" i="3" l="1"/>
  <c r="C74" i="3"/>
  <c r="H74" i="3" s="1"/>
  <c r="L74" i="3" l="1" a="1"/>
  <c r="L74" i="3" s="1"/>
  <c r="I74" i="3" l="1"/>
  <c r="K74" i="3" l="1"/>
  <c r="D75" i="3"/>
  <c r="C75" i="3" l="1"/>
  <c r="B75" i="3"/>
  <c r="H75" i="3" l="1"/>
  <c r="L75" i="3" a="1"/>
  <c r="L75" i="3" s="1"/>
  <c r="I75" i="3" l="1"/>
  <c r="D76" i="3" l="1"/>
  <c r="K75" i="3"/>
  <c r="B76" i="3" l="1"/>
  <c r="C76" i="3"/>
  <c r="H76" i="3" s="1"/>
  <c r="L76" i="3" l="1" a="1"/>
  <c r="L76" i="3" s="1"/>
  <c r="I76" i="3" l="1"/>
  <c r="D77" i="3" l="1"/>
  <c r="K76" i="3"/>
  <c r="C77" i="3" l="1"/>
  <c r="B77" i="3"/>
  <c r="H77" i="3" l="1"/>
  <c r="L77" i="3" a="1"/>
  <c r="L77" i="3" s="1"/>
  <c r="I77" i="3" l="1"/>
  <c r="F77" i="3" s="1"/>
  <c r="G77" i="3" l="1"/>
  <c r="X77" i="3" s="1"/>
  <c r="D78" i="3"/>
  <c r="K77" i="3"/>
  <c r="B78" i="3" l="1"/>
  <c r="C78" i="3"/>
  <c r="H78" i="3" s="1"/>
  <c r="L78" i="3" l="1" a="1"/>
  <c r="L78" i="3" s="1"/>
  <c r="I78" i="3" l="1"/>
  <c r="F78" i="3" l="1"/>
  <c r="K78" i="3"/>
  <c r="G78" i="3" l="1"/>
  <c r="X78" i="3" s="1"/>
  <c r="D79" i="3" s="1"/>
  <c r="C79" i="3" l="1"/>
  <c r="B79" i="3"/>
  <c r="H79" i="3" l="1"/>
  <c r="L79" i="3" a="1"/>
  <c r="L79" i="3" s="1"/>
  <c r="I79" i="3" l="1"/>
  <c r="F79" i="3" s="1"/>
  <c r="G79" i="3" l="1"/>
  <c r="X79" i="3" s="1"/>
  <c r="F81" i="3"/>
  <c r="G81" i="3" s="1"/>
  <c r="X81" i="3" s="1"/>
  <c r="K79" i="3"/>
  <c r="D80" i="3"/>
  <c r="B80" i="3" l="1"/>
  <c r="C80" i="3"/>
  <c r="H80" i="3" s="1"/>
  <c r="L80" i="3" l="1" a="1"/>
  <c r="L80" i="3" s="1"/>
  <c r="I80" i="3" l="1"/>
  <c r="F80" i="3" l="1"/>
  <c r="K80" i="3"/>
  <c r="G80" i="3" l="1"/>
  <c r="F82" i="3"/>
  <c r="G82" i="3" l="1"/>
  <c r="X82" i="3" s="1"/>
  <c r="F84" i="3"/>
  <c r="X80" i="3"/>
  <c r="D81" i="3" s="1"/>
  <c r="C81" i="3" l="1"/>
  <c r="B81" i="3"/>
  <c r="G84" i="3"/>
  <c r="H81" i="3" l="1"/>
  <c r="X84" i="3"/>
  <c r="L81" i="3" a="1"/>
  <c r="L81" i="3" s="1"/>
  <c r="I81" i="3" l="1"/>
  <c r="K81" i="3" l="1"/>
  <c r="D82" i="3"/>
  <c r="B82" i="3" l="1"/>
  <c r="C82" i="3"/>
  <c r="H82" i="3" s="1"/>
  <c r="L82" i="3" l="1" a="1"/>
  <c r="L82" i="3" s="1"/>
  <c r="I82" i="3" l="1"/>
  <c r="K82" i="3" l="1"/>
  <c r="D83" i="3"/>
  <c r="B83" i="3" l="1"/>
  <c r="C83" i="3"/>
  <c r="H83" i="3" s="1"/>
  <c r="L83" i="3" l="1" a="1"/>
  <c r="L83" i="3" s="1"/>
  <c r="I83" i="3" l="1"/>
  <c r="F83" i="3" s="1"/>
  <c r="G83" i="3" l="1"/>
  <c r="X83" i="3" s="1"/>
  <c r="K83" i="3"/>
  <c r="D84" i="3"/>
  <c r="C84" i="3" l="1"/>
  <c r="B84" i="3"/>
  <c r="H84" i="3" l="1"/>
  <c r="L84" i="3" a="1"/>
  <c r="L84" i="3" s="1"/>
  <c r="I84" i="3" l="1"/>
  <c r="D85" i="3" l="1"/>
  <c r="K84" i="3"/>
  <c r="B85" i="3" l="1"/>
  <c r="C85" i="3"/>
  <c r="H85" i="3" s="1"/>
  <c r="L85" i="3" l="1" a="1"/>
  <c r="L85" i="3" s="1"/>
  <c r="I85" i="3" l="1"/>
  <c r="F85" i="3" l="1"/>
  <c r="K85" i="3"/>
  <c r="F11" i="6" l="1"/>
  <c r="G85" i="3"/>
  <c r="F87" i="3"/>
  <c r="G87" i="3" l="1"/>
  <c r="X87" i="3" s="1"/>
  <c r="X85" i="3"/>
  <c r="D86" i="3" s="1"/>
  <c r="G11" i="6"/>
  <c r="C86" i="3" l="1"/>
  <c r="B86" i="3"/>
  <c r="H86" i="3" l="1"/>
  <c r="L86" i="3" a="1"/>
  <c r="L86" i="3" s="1"/>
  <c r="I86" i="3" l="1"/>
  <c r="F86" i="3" s="1"/>
  <c r="G86" i="3" l="1"/>
  <c r="X86" i="3" s="1"/>
  <c r="F88" i="3"/>
  <c r="G88" i="3" s="1"/>
  <c r="X88" i="3" s="1"/>
  <c r="F90" i="3"/>
  <c r="G90" i="3" s="1"/>
  <c r="X90" i="3" s="1"/>
  <c r="F89" i="3"/>
  <c r="G89" i="3" s="1"/>
  <c r="X89" i="3" s="1"/>
  <c r="D87" i="3"/>
  <c r="K86" i="3"/>
  <c r="B87" i="3" l="1"/>
  <c r="C87" i="3"/>
  <c r="H87" i="3" s="1"/>
  <c r="L87" i="3" l="1" a="1"/>
  <c r="L87" i="3" s="1"/>
  <c r="I87" i="3" l="1"/>
  <c r="K87" i="3" l="1"/>
  <c r="D88" i="3"/>
  <c r="C88" i="3" l="1"/>
  <c r="B88" i="3"/>
  <c r="H88" i="3" l="1"/>
  <c r="L88" i="3" a="1"/>
  <c r="L88" i="3" s="1"/>
  <c r="I88" i="3" l="1"/>
  <c r="K88" i="3" l="1"/>
  <c r="D89" i="3"/>
  <c r="B89" i="3" l="1"/>
  <c r="C89" i="3"/>
  <c r="H89" i="3" s="1"/>
  <c r="L89" i="3" l="1" a="1"/>
  <c r="L89" i="3" s="1"/>
  <c r="I89" i="3" l="1"/>
  <c r="K89" i="3" l="1"/>
  <c r="D90" i="3"/>
  <c r="C90" i="3" l="1"/>
  <c r="B90" i="3"/>
  <c r="H90" i="3" l="1"/>
  <c r="L90" i="3" a="1"/>
  <c r="L90" i="3" s="1"/>
  <c r="I90" i="3" l="1"/>
  <c r="D91" i="3" l="1"/>
  <c r="K90" i="3"/>
  <c r="B91" i="3" l="1"/>
  <c r="C91" i="3"/>
  <c r="H91" i="3" s="1"/>
  <c r="L91" i="3" l="1" a="1"/>
  <c r="L91" i="3" s="1"/>
  <c r="I91" i="3" l="1"/>
  <c r="F91" i="3" s="1"/>
  <c r="G91" i="3" l="1"/>
  <c r="X91" i="3" s="1"/>
  <c r="D92" i="3"/>
  <c r="K91" i="3"/>
  <c r="C92" i="3" l="1"/>
  <c r="B92" i="3"/>
  <c r="H92" i="3" l="1"/>
  <c r="L92" i="3" a="1"/>
  <c r="L92" i="3" s="1"/>
  <c r="I92" i="3" l="1"/>
  <c r="F92" i="3" l="1"/>
  <c r="G92" i="3"/>
  <c r="X92" i="3" s="1"/>
  <c r="D93" i="3" s="1"/>
  <c r="K92" i="3"/>
  <c r="B93" i="3" l="1"/>
  <c r="C93" i="3"/>
  <c r="H93" i="3" l="1"/>
  <c r="L93" i="3" a="1"/>
  <c r="L93" i="3" s="1"/>
  <c r="I93" i="3" s="1"/>
  <c r="F93" i="3" s="1"/>
  <c r="G93" i="3" l="1"/>
  <c r="X93" i="3" s="1"/>
  <c r="F95" i="3"/>
  <c r="G95" i="3" s="1"/>
  <c r="X95" i="3" s="1"/>
  <c r="K93" i="3"/>
  <c r="D94" i="3"/>
  <c r="F94" i="3"/>
  <c r="B94" i="3" l="1"/>
  <c r="C94" i="3"/>
  <c r="L94" i="3" s="1" a="1"/>
  <c r="L94" i="3" s="1"/>
  <c r="G94" i="3"/>
  <c r="X94" i="3" s="1"/>
  <c r="F96" i="3"/>
  <c r="H94" i="3" l="1"/>
  <c r="I94" i="3" s="1"/>
  <c r="D95" i="3" s="1"/>
  <c r="C95" i="3" s="1"/>
  <c r="G96" i="3"/>
  <c r="X96" i="3" s="1"/>
  <c r="F98" i="3"/>
  <c r="B95" i="3" l="1"/>
  <c r="K94" i="3"/>
  <c r="H95" i="3"/>
  <c r="L95" i="3" a="1"/>
  <c r="L95" i="3" s="1"/>
  <c r="I95" i="3" s="1"/>
  <c r="G98" i="3"/>
  <c r="X98" i="3" s="1"/>
  <c r="K95" i="3" l="1"/>
  <c r="D96" i="3"/>
  <c r="C96" i="3" l="1"/>
  <c r="B96" i="3"/>
  <c r="H96" i="3" l="1"/>
  <c r="L96" i="3" a="1"/>
  <c r="L96" i="3" s="1"/>
  <c r="I96" i="3" l="1"/>
  <c r="K96" i="3" l="1"/>
  <c r="D97" i="3"/>
  <c r="B97" i="3" l="1"/>
  <c r="C97" i="3"/>
  <c r="H97" i="3" s="1"/>
  <c r="L97" i="3" l="1" a="1"/>
  <c r="L97" i="3" s="1"/>
  <c r="I97" i="3" l="1"/>
  <c r="F97" i="3" s="1"/>
  <c r="G97" i="3" l="1"/>
  <c r="X97" i="3" s="1"/>
  <c r="F100" i="3"/>
  <c r="G100" i="3" s="1"/>
  <c r="X100" i="3" s="1"/>
  <c r="K97" i="3"/>
  <c r="D98" i="3"/>
  <c r="H98" i="3" s="1"/>
  <c r="C98" i="3" l="1"/>
  <c r="B98" i="3"/>
  <c r="L98" i="3" l="1" a="1"/>
  <c r="L98" i="3" s="1"/>
  <c r="I98" i="3" l="1"/>
  <c r="D99" i="3" l="1"/>
  <c r="H99" i="3" s="1"/>
  <c r="K98" i="3"/>
  <c r="C99" i="3" l="1"/>
  <c r="B99" i="3"/>
  <c r="L99" i="3" l="1" a="1"/>
  <c r="L99" i="3" s="1"/>
  <c r="I99" i="3" l="1"/>
  <c r="K99" i="3" l="1"/>
  <c r="F99" i="3"/>
  <c r="F12" i="6" l="1"/>
  <c r="G99" i="3"/>
  <c r="X99" i="3" s="1"/>
  <c r="D100" i="3" s="1"/>
  <c r="H100" i="3" s="1"/>
  <c r="F101" i="3"/>
  <c r="F102" i="3"/>
  <c r="F103" i="3" l="1"/>
  <c r="G101" i="3"/>
  <c r="X101" i="3" s="1"/>
  <c r="G102" i="3"/>
  <c r="X102" i="3" s="1"/>
  <c r="F104" i="3"/>
  <c r="D101" i="3"/>
  <c r="H101" i="3" s="1"/>
  <c r="C100" i="3"/>
  <c r="B100" i="3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G12" i="6"/>
  <c r="L100" i="3" l="1" a="1"/>
  <c r="L100" i="3" s="1"/>
  <c r="C101" i="3"/>
  <c r="F106" i="3"/>
  <c r="G104" i="3"/>
  <c r="X104" i="3" s="1"/>
  <c r="D102" i="3"/>
  <c r="H102" i="3" s="1"/>
  <c r="G103" i="3"/>
  <c r="X103" i="3" s="1"/>
  <c r="F105" i="3"/>
  <c r="D103" i="3" l="1"/>
  <c r="H103" i="3" s="1"/>
  <c r="G105" i="3"/>
  <c r="X105" i="3" s="1"/>
  <c r="F107" i="3"/>
  <c r="G106" i="3"/>
  <c r="X106" i="3" s="1"/>
  <c r="F108" i="3"/>
  <c r="I100" i="3"/>
  <c r="K100" i="3" s="1"/>
  <c r="C102" i="3"/>
  <c r="L101" i="3" a="1"/>
  <c r="L101" i="3" s="1"/>
  <c r="I101" i="3" s="1"/>
  <c r="K101" i="3" s="1"/>
  <c r="C103" i="3" l="1"/>
  <c r="L102" i="3" a="1"/>
  <c r="L102" i="3" s="1"/>
  <c r="I102" i="3" s="1"/>
  <c r="K102" i="3" s="1"/>
  <c r="G107" i="3"/>
  <c r="X107" i="3" s="1"/>
  <c r="F109" i="3"/>
  <c r="G108" i="3"/>
  <c r="X108" i="3" s="1"/>
  <c r="F110" i="3"/>
  <c r="D104" i="3"/>
  <c r="H104" i="3" s="1"/>
  <c r="D105" i="3" l="1"/>
  <c r="H105" i="3" s="1"/>
  <c r="G110" i="3"/>
  <c r="X110" i="3" s="1"/>
  <c r="F112" i="3"/>
  <c r="G109" i="3"/>
  <c r="X109" i="3" s="1"/>
  <c r="F111" i="3"/>
  <c r="C104" i="3"/>
  <c r="L103" i="3" a="1"/>
  <c r="L103" i="3" s="1"/>
  <c r="I103" i="3" s="1"/>
  <c r="K103" i="3" s="1"/>
  <c r="C105" i="3" l="1"/>
  <c r="L104" i="3" a="1"/>
  <c r="L104" i="3" s="1"/>
  <c r="I104" i="3" s="1"/>
  <c r="K104" i="3" s="1"/>
  <c r="D106" i="3"/>
  <c r="H106" i="3" s="1"/>
  <c r="G111" i="3"/>
  <c r="X111" i="3" s="1"/>
  <c r="F113" i="3"/>
  <c r="G112" i="3"/>
  <c r="X112" i="3" s="1"/>
  <c r="F114" i="3"/>
  <c r="G114" i="3" l="1"/>
  <c r="X114" i="3" s="1"/>
  <c r="F116" i="3"/>
  <c r="G113" i="3"/>
  <c r="X113" i="3" s="1"/>
  <c r="F115" i="3"/>
  <c r="D107" i="3"/>
  <c r="H107" i="3" s="1"/>
  <c r="C106" i="3"/>
  <c r="L105" i="3" a="1"/>
  <c r="L105" i="3" s="1"/>
  <c r="I105" i="3" s="1"/>
  <c r="K105" i="3" s="1"/>
  <c r="C107" i="3" l="1"/>
  <c r="L106" i="3" a="1"/>
  <c r="L106" i="3" s="1"/>
  <c r="I106" i="3" s="1"/>
  <c r="K106" i="3" s="1"/>
  <c r="G116" i="3"/>
  <c r="X116" i="3" s="1"/>
  <c r="F118" i="3"/>
  <c r="D108" i="3"/>
  <c r="H108" i="3" s="1"/>
  <c r="G115" i="3"/>
  <c r="X115" i="3" s="1"/>
  <c r="F117" i="3"/>
  <c r="G117" i="3" l="1"/>
  <c r="X117" i="3" s="1"/>
  <c r="F119" i="3"/>
  <c r="D109" i="3"/>
  <c r="H109" i="3" s="1"/>
  <c r="G118" i="3"/>
  <c r="X118" i="3" s="1"/>
  <c r="F120" i="3"/>
  <c r="C108" i="3"/>
  <c r="L107" i="3" a="1"/>
  <c r="L107" i="3" s="1"/>
  <c r="I107" i="3" s="1"/>
  <c r="K107" i="3" s="1"/>
  <c r="C109" i="3" l="1"/>
  <c r="L108" i="3" a="1"/>
  <c r="L108" i="3" s="1"/>
  <c r="I108" i="3" s="1"/>
  <c r="K108" i="3" s="1"/>
  <c r="G120" i="3"/>
  <c r="X120" i="3" s="1"/>
  <c r="F122" i="3"/>
  <c r="G119" i="3"/>
  <c r="X119" i="3" s="1"/>
  <c r="F121" i="3"/>
  <c r="D110" i="3"/>
  <c r="H110" i="3" s="1"/>
  <c r="D111" i="3" l="1"/>
  <c r="H111" i="3" s="1"/>
  <c r="G121" i="3"/>
  <c r="X121" i="3" s="1"/>
  <c r="F123" i="3"/>
  <c r="G122" i="3"/>
  <c r="X122" i="3" s="1"/>
  <c r="F124" i="3"/>
  <c r="G124" i="3" s="1"/>
  <c r="X124" i="3" s="1"/>
  <c r="C110" i="3"/>
  <c r="L109" i="3" a="1"/>
  <c r="L109" i="3" s="1"/>
  <c r="I109" i="3" s="1"/>
  <c r="K109" i="3" s="1"/>
  <c r="C111" i="3" l="1"/>
  <c r="L110" i="3" a="1"/>
  <c r="L110" i="3" s="1"/>
  <c r="I110" i="3" s="1"/>
  <c r="K110" i="3" s="1"/>
  <c r="G123" i="3"/>
  <c r="X123" i="3" s="1"/>
  <c r="F125" i="3"/>
  <c r="D112" i="3"/>
  <c r="H112" i="3" s="1"/>
  <c r="D113" i="3" l="1"/>
  <c r="H113" i="3" s="1"/>
  <c r="G125" i="3"/>
  <c r="F126" i="3"/>
  <c r="F13" i="6" s="1"/>
  <c r="C112" i="3"/>
  <c r="L111" i="3" a="1"/>
  <c r="L111" i="3" s="1"/>
  <c r="I111" i="3" s="1"/>
  <c r="K111" i="3" s="1"/>
  <c r="G13" i="6" l="1"/>
  <c r="G17" i="6" s="1"/>
  <c r="F17" i="6"/>
  <c r="X125" i="3"/>
  <c r="G126" i="3"/>
  <c r="C14" i="3" s="1"/>
  <c r="C113" i="3"/>
  <c r="L112" i="3" a="1"/>
  <c r="L112" i="3" s="1"/>
  <c r="I112" i="3" s="1"/>
  <c r="K112" i="3" s="1"/>
  <c r="D114" i="3"/>
  <c r="H114" i="3" s="1"/>
  <c r="D115" i="3" l="1"/>
  <c r="H115" i="3" s="1"/>
  <c r="C114" i="3"/>
  <c r="L113" i="3" a="1"/>
  <c r="L113" i="3" s="1"/>
  <c r="I113" i="3" s="1"/>
  <c r="K113" i="3" s="1"/>
  <c r="D116" i="3" l="1"/>
  <c r="H116" i="3" s="1"/>
  <c r="C115" i="3"/>
  <c r="L114" i="3" a="1"/>
  <c r="L114" i="3" s="1"/>
  <c r="I114" i="3" s="1"/>
  <c r="K114" i="3" s="1"/>
  <c r="C116" i="3" l="1"/>
  <c r="L115" i="3" a="1"/>
  <c r="L115" i="3" s="1"/>
  <c r="I115" i="3" s="1"/>
  <c r="K115" i="3" s="1"/>
  <c r="D117" i="3"/>
  <c r="H117" i="3" s="1"/>
  <c r="D118" i="3" l="1"/>
  <c r="H118" i="3" s="1"/>
  <c r="C117" i="3"/>
  <c r="L116" i="3" a="1"/>
  <c r="L116" i="3" s="1"/>
  <c r="I116" i="3" s="1"/>
  <c r="K116" i="3" s="1"/>
  <c r="D119" i="3" l="1"/>
  <c r="H119" i="3" s="1"/>
  <c r="C118" i="3"/>
  <c r="L117" i="3" a="1"/>
  <c r="L117" i="3" s="1"/>
  <c r="I117" i="3" s="1"/>
  <c r="K117" i="3" s="1"/>
  <c r="C119" i="3" l="1"/>
  <c r="L118" i="3" a="1"/>
  <c r="L118" i="3" s="1"/>
  <c r="I118" i="3" s="1"/>
  <c r="K118" i="3" s="1"/>
  <c r="D120" i="3"/>
  <c r="H120" i="3" s="1"/>
  <c r="D121" i="3" l="1"/>
  <c r="H121" i="3" s="1"/>
  <c r="C120" i="3"/>
  <c r="L119" i="3" a="1"/>
  <c r="L119" i="3" s="1"/>
  <c r="I119" i="3" s="1"/>
  <c r="K119" i="3" s="1"/>
  <c r="C121" i="3" l="1"/>
  <c r="L120" i="3" a="1"/>
  <c r="L120" i="3" s="1"/>
  <c r="I120" i="3" s="1"/>
  <c r="K120" i="3" s="1"/>
  <c r="D122" i="3"/>
  <c r="H122" i="3" s="1"/>
  <c r="D123" i="3" l="1"/>
  <c r="H123" i="3" s="1"/>
  <c r="C122" i="3"/>
  <c r="L121" i="3" a="1"/>
  <c r="L121" i="3" s="1"/>
  <c r="I121" i="3" s="1"/>
  <c r="K121" i="3" s="1"/>
  <c r="D124" i="3" l="1"/>
  <c r="H124" i="3" s="1"/>
  <c r="C123" i="3"/>
  <c r="L122" i="3" a="1"/>
  <c r="L122" i="3" s="1"/>
  <c r="I122" i="3" s="1"/>
  <c r="K122" i="3" s="1"/>
  <c r="C124" i="3" l="1"/>
  <c r="L123" i="3" a="1"/>
  <c r="L123" i="3" s="1"/>
  <c r="I123" i="3" s="1"/>
  <c r="K123" i="3" s="1"/>
  <c r="D125" i="3"/>
  <c r="H125" i="3" s="1"/>
  <c r="H126" i="3" l="1"/>
  <c r="C12" i="3" s="1"/>
  <c r="C125" i="3"/>
  <c r="L125" i="3" s="1" a="1"/>
  <c r="L125" i="3" s="1"/>
  <c r="I125" i="3" s="1"/>
  <c r="L124" i="3" a="1"/>
  <c r="L124" i="3" s="1"/>
  <c r="I124" i="3" s="1"/>
  <c r="K124" i="3" s="1"/>
  <c r="K125" i="3" l="1"/>
  <c r="B17" i="5" s="1" a="1"/>
  <c r="B17" i="5" s="1"/>
  <c r="I126" i="3"/>
  <c r="C1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<sst xmlns="http://schemas.openxmlformats.org/spreadsheetml/2006/main" count="176" uniqueCount="114">
  <si>
    <t>5 Year Loan Calculation - Pairs &lt;5 years June due date</t>
  </si>
  <si>
    <t>5 Year Loan Calculation - Bred Heifers and Bred Cows &lt;5 years June Due date</t>
  </si>
  <si>
    <t>5 Year Loan Calculation - Pairs &lt;5 years Dec due date</t>
  </si>
  <si>
    <t>5 Year Loan Calculation - Bred Heifers and Bred Cows &lt;5 years Dec due date</t>
  </si>
  <si>
    <t>Installment Payment</t>
  </si>
  <si>
    <t>Code</t>
  </si>
  <si>
    <t>A</t>
  </si>
  <si>
    <t>B</t>
  </si>
  <si>
    <t>Interest Rates</t>
  </si>
  <si>
    <t>Date</t>
  </si>
  <si>
    <t>Prime</t>
  </si>
  <si>
    <t>From</t>
  </si>
  <si>
    <t>To</t>
  </si>
  <si>
    <t>Rates</t>
  </si>
  <si>
    <t>Prime+.90</t>
  </si>
  <si>
    <t>Daily Rate</t>
  </si>
  <si>
    <t>Daily Balance</t>
  </si>
  <si>
    <t># of Days</t>
  </si>
  <si>
    <t>Interest</t>
  </si>
  <si>
    <t>ALBERTA BREEDER FINANCE INC</t>
  </si>
  <si>
    <t>Advance Amount</t>
  </si>
  <si>
    <t>Type of Loan</t>
  </si>
  <si>
    <t>Years</t>
  </si>
  <si>
    <t>5YR</t>
  </si>
  <si>
    <t>2YR</t>
  </si>
  <si>
    <t>5YR St Date</t>
  </si>
  <si>
    <t>5YR End Date</t>
  </si>
  <si>
    <t>2YR St Date</t>
  </si>
  <si>
    <t>2YR End Date</t>
  </si>
  <si>
    <t>-</t>
  </si>
  <si>
    <t>Installment due</t>
  </si>
  <si>
    <t xml:space="preserve">Type of Stock </t>
  </si>
  <si>
    <t>Year 1</t>
  </si>
  <si>
    <t>Year 2</t>
  </si>
  <si>
    <t>Year 3</t>
  </si>
  <si>
    <t>Year 4</t>
  </si>
  <si>
    <t>Year 5</t>
  </si>
  <si>
    <t>Principal</t>
  </si>
  <si>
    <t>Start Date of Loan</t>
  </si>
  <si>
    <t>Number of days</t>
  </si>
  <si>
    <t>Installment Due</t>
  </si>
  <si>
    <t>Repayment Rate</t>
  </si>
  <si>
    <t>Interest Payable</t>
  </si>
  <si>
    <t>Installment payable Principal</t>
  </si>
  <si>
    <t>Total Payable</t>
  </si>
  <si>
    <t>Installment Payment %</t>
  </si>
  <si>
    <t>Loan Quote and Amortization Schedule</t>
  </si>
  <si>
    <t>5 Year Loan Calculation - Bred Heifers and Bred Cows &lt;5 years June due date</t>
  </si>
  <si>
    <t>Types in Syndi;</t>
  </si>
  <si>
    <t>YE</t>
  </si>
  <si>
    <t>BRED HEIFERS</t>
  </si>
  <si>
    <t>PAIRS-5</t>
  </si>
  <si>
    <t>COWS-5</t>
  </si>
  <si>
    <t>PAIRS5</t>
  </si>
  <si>
    <t>BULL</t>
  </si>
  <si>
    <t>HEIFERCALVES</t>
  </si>
  <si>
    <t>COWS 5</t>
  </si>
  <si>
    <t>EWELAMBS</t>
  </si>
  <si>
    <t>Yes</t>
  </si>
  <si>
    <t>No</t>
  </si>
  <si>
    <t>IF(EDATE(U16,3)=$G$11,N16,0)</t>
  </si>
  <si>
    <t>Year 6</t>
  </si>
  <si>
    <t>5 or 6 years</t>
  </si>
  <si>
    <t>2 or 3years</t>
  </si>
  <si>
    <t>Principal Repayment</t>
  </si>
  <si>
    <t>Interest Repayment</t>
  </si>
  <si>
    <t>Total Installment Payment</t>
  </si>
  <si>
    <t>June 15</t>
  </si>
  <si>
    <t>December 15</t>
  </si>
  <si>
    <t>Due Dates</t>
  </si>
  <si>
    <t>Year</t>
  </si>
  <si>
    <t>Total</t>
  </si>
  <si>
    <t>Period in years</t>
  </si>
  <si>
    <t>Interest rate</t>
  </si>
  <si>
    <t>Total cost of borrowing</t>
  </si>
  <si>
    <t>Total estimated payable</t>
  </si>
  <si>
    <t>Loan Values:</t>
  </si>
  <si>
    <t>Loan Summary:</t>
  </si>
  <si>
    <t>Loan Input Values:</t>
  </si>
  <si>
    <r>
      <t xml:space="preserve">Interest only  payment            </t>
    </r>
    <r>
      <rPr>
        <sz val="14"/>
        <color theme="1"/>
        <rFont val="Aptos Narrow"/>
        <family val="2"/>
        <scheme val="minor"/>
      </rPr>
      <t xml:space="preserve"> (if applicable)</t>
    </r>
  </si>
  <si>
    <t>Principal Payable ($)</t>
  </si>
  <si>
    <t>Daily Balance ($)</t>
  </si>
  <si>
    <t>Interest Payable ($)</t>
  </si>
  <si>
    <t>Total Payable ($)</t>
  </si>
  <si>
    <t>Interest ($)</t>
  </si>
  <si>
    <t>Advance amount</t>
  </si>
  <si>
    <t>Start date of the advance</t>
  </si>
  <si>
    <t>Prime +0.9%</t>
  </si>
  <si>
    <t>Checks;</t>
  </si>
  <si>
    <t>Heifer Calf June due date</t>
  </si>
  <si>
    <t>Heifer Calf December due date</t>
  </si>
  <si>
    <t>Bulls June due date</t>
  </si>
  <si>
    <t>Bulls December due date</t>
  </si>
  <si>
    <t>2 year Loan Calculation  - Bred Cows and Pairs &gt;5 year Dec due date</t>
  </si>
  <si>
    <t>2 year Loan Calculation - Bred Cows and Pairs &gt;5 year June due date</t>
  </si>
  <si>
    <t>SUMMARY OF LOAN</t>
  </si>
  <si>
    <t>Totals</t>
  </si>
  <si>
    <t>Quote and Amortization Schedule</t>
  </si>
  <si>
    <t>ABFI Team</t>
  </si>
  <si>
    <t>Dear Administrator/Supervisor,</t>
  </si>
  <si>
    <t>The attached Excel template provides a loan quote and generates an amortization schedule based on the information you enter.</t>
  </si>
  <si>
    <t>How to Use:</t>
  </si>
  <si>
    <t>Please enter the following details in the yellow input boxes:</t>
  </si>
  <si>
    <t>Type of loan sought</t>
  </si>
  <si>
    <t>Interest-only option (if applicable)</t>
  </si>
  <si>
    <t>All other fields will populate automatically. No further manual input is required.</t>
  </si>
  <si>
    <t>Date prepared:</t>
  </si>
  <si>
    <t>Current prime rate</t>
  </si>
  <si>
    <t>Start Year</t>
  </si>
  <si>
    <t>End Year</t>
  </si>
  <si>
    <t>Leap years</t>
  </si>
  <si>
    <t xml:space="preserve">Rate Change </t>
  </si>
  <si>
    <t>Alternative</t>
  </si>
  <si>
    <r>
      <t xml:space="preserve">Interest only  payment      </t>
    </r>
    <r>
      <rPr>
        <sz val="11"/>
        <color theme="1"/>
        <rFont val="Aptos Narrow"/>
        <family val="2"/>
        <scheme val="minor"/>
      </rPr>
      <t xml:space="preserve">      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</si>
</sst>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0"/>
    <numFmt numFmtId="165" formatCode="[$-1009]mmmm\ d\,\ yyyy;@"/>
    <numFmt numFmtId="166" formatCode="[$-409]mmmm\ d\,\ yyyy;@"/>
    <numFmt numFmtId="167" formatCode="_-* #,##0_-;\-* #,##0_-;_-* &quot;-&quot;??_-;_-@_-"/>
    <numFmt numFmtId="168" formatCode="[$-409]d/mmm/yy;@"/>
    <numFmt numFmtId="169" formatCode="[$-F800]dddd\,\ mmmm\ dd\,\ yyyy"/>
    <numFmt numFmtId="170" formatCode="0%;\-0%;&quot;-&quot;"/>
    <numFmt numFmtId="171" formatCode="&quot;$&quot;#,##0.00"/>
    <numFmt numFmtId="172" formatCode="yyyy/mm/dd;@"/>
    <numFmt numFmtId="173" formatCode="_-* #,##0.00000000_-;\-* #,##0.00000000_-;_-* &quot;-&quot;??_-;_-@_-"/>
    <numFmt numFmtId="174" formatCode="_-* #,##0.000000000_-;\-* #,##0.000000000_-;_-* &quot;-&quot;??_-;_-@_-"/>
  </numFmts>
  <fonts count="37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ptos Narrow"/>
      <family val="2"/>
      <scheme val="minor"/>
    </font>
    <font>
      <b/>
      <sz val="14"/>
      <color theme="7"/>
      <name val="Aptos Narrow"/>
      <family val="2"/>
      <scheme val="minor"/>
    </font>
    <font>
      <sz val="14"/>
      <color theme="7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 tint="0.2499465926084170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0"/>
      <color theme="0" tint="-0.249977111117893"/>
      <name val="Aptos Narrow"/>
      <family val="2"/>
      <scheme val="minor"/>
    </font>
    <font>
      <sz val="11"/>
      <color theme="0" tint="-0.249977111117893"/>
      <name val="Aptos"/>
      <family val="2"/>
    </font>
    <font>
      <sz val="14"/>
      <color theme="1"/>
      <name val="Aptos Narrow"/>
      <family val="2"/>
      <scheme val="minor"/>
    </font>
    <font>
      <sz val="10"/>
      <color theme="0" tint="-0.249977111117893"/>
      <name val="Aptos Narrow"/>
      <family val="2"/>
      <scheme val="minor"/>
    </font>
    <font>
      <sz val="11"/>
      <color theme="1"/>
      <name val="Aptos"/>
      <family val="2"/>
    </font>
    <font>
      <b/>
      <sz val="14"/>
      <color theme="1"/>
      <name val="Abadi Extra Light"/>
      <family val="2"/>
    </font>
    <font>
      <sz val="12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8"/>
      <name val="Aptos Narrow"/>
      <family val="2"/>
      <scheme val="minor"/>
    </font>
    <font>
      <b/>
      <sz val="16"/>
      <name val="Aptos Narrow"/>
      <family val="2"/>
      <scheme val="minor"/>
    </font>
    <font>
      <sz val="14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0"/>
      <color theme="2" tint="-9.9978637043366805E-2"/>
      <name val="Aptos Narrow"/>
      <family val="2"/>
      <scheme val="minor"/>
    </font>
    <font>
      <sz val="11"/>
      <color theme="2" tint="-9.9978637043366805E-2"/>
      <name val="Aptos"/>
      <family val="2"/>
    </font>
    <font>
      <sz val="11"/>
      <color rgb="FFFF0000"/>
      <name val="Aptos Narrow"/>
      <family val="2"/>
      <scheme val="minor"/>
    </font>
    <font>
      <sz val="12"/>
      <color theme="7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8"/>
      <color theme="0" tint="-0.49998474074526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14" fontId="15" fillId="0" borderId="0" applyFont="0" applyFill="0" applyBorder="0" applyAlignment="0">
      <alignment vertical="center"/>
    </xf>
  </cellStyleXfs>
  <cellXfs count="1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" fontId="0" fillId="0" borderId="0" xfId="0" applyNumberFormat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5" fontId="0" fillId="2" borderId="0" xfId="0" applyNumberFormat="1" applyFill="1"/>
    <xf numFmtId="2" fontId="3" fillId="2" borderId="0" xfId="0" applyNumberFormat="1" applyFont="1" applyFill="1"/>
    <xf numFmtId="164" fontId="0" fillId="2" borderId="0" xfId="0" applyNumberFormat="1" applyFill="1"/>
    <xf numFmtId="15" fontId="0" fillId="2" borderId="0" xfId="0" applyNumberFormat="1" applyFill="1" applyAlignment="1">
      <alignment horizontal="right"/>
    </xf>
    <xf numFmtId="0" fontId="5" fillId="0" borderId="0" xfId="0" applyFont="1" applyAlignment="1">
      <alignment horizontal="centerContinuous"/>
    </xf>
    <xf numFmtId="0" fontId="6" fillId="0" borderId="0" xfId="0" applyFont="1"/>
    <xf numFmtId="43" fontId="0" fillId="0" borderId="4" xfId="1" applyFont="1" applyBorder="1"/>
    <xf numFmtId="166" fontId="8" fillId="0" borderId="4" xfId="0" applyNumberFormat="1" applyFont="1" applyBorder="1" applyAlignment="1">
      <alignment horizontal="centerContinuous"/>
    </xf>
    <xf numFmtId="44" fontId="10" fillId="0" borderId="4" xfId="3" applyFont="1" applyBorder="1"/>
    <xf numFmtId="0" fontId="6" fillId="4" borderId="0" xfId="0" applyFont="1" applyFill="1" applyAlignment="1">
      <alignment horizontal="centerContinuous"/>
    </xf>
    <xf numFmtId="0" fontId="12" fillId="0" borderId="0" xfId="0" applyFont="1"/>
    <xf numFmtId="0" fontId="13" fillId="0" borderId="0" xfId="0" applyFont="1"/>
    <xf numFmtId="0" fontId="12" fillId="5" borderId="0" xfId="0" applyFont="1" applyFill="1" applyAlignment="1">
      <alignment horizontal="centerContinuous"/>
    </xf>
    <xf numFmtId="0" fontId="13" fillId="5" borderId="0" xfId="0" applyFont="1" applyFill="1" applyAlignment="1">
      <alignment horizontal="centerContinuous"/>
    </xf>
    <xf numFmtId="168" fontId="0" fillId="0" borderId="0" xfId="0" applyNumberFormat="1"/>
    <xf numFmtId="9" fontId="0" fillId="0" borderId="0" xfId="0" applyNumberFormat="1"/>
    <xf numFmtId="10" fontId="0" fillId="0" borderId="0" xfId="0" applyNumberFormat="1"/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164" fontId="18" fillId="0" borderId="0" xfId="0" applyNumberFormat="1" applyFont="1" applyAlignment="1">
      <alignment vertical="center"/>
    </xf>
    <xf numFmtId="166" fontId="16" fillId="0" borderId="0" xfId="0" applyNumberFormat="1" applyFont="1"/>
    <xf numFmtId="43" fontId="16" fillId="0" borderId="0" xfId="1" applyFont="1" applyAlignment="1">
      <alignment horizontal="center"/>
    </xf>
    <xf numFmtId="167" fontId="16" fillId="0" borderId="0" xfId="1" applyNumberFormat="1" applyFont="1"/>
    <xf numFmtId="43" fontId="16" fillId="0" borderId="0" xfId="1" applyFont="1"/>
    <xf numFmtId="43" fontId="12" fillId="0" borderId="0" xfId="0" applyNumberFormat="1" applyFont="1"/>
    <xf numFmtId="0" fontId="7" fillId="6" borderId="6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43" fontId="8" fillId="0" borderId="4" xfId="1" applyFont="1" applyBorder="1"/>
    <xf numFmtId="0" fontId="14" fillId="0" borderId="0" xfId="0" applyFont="1"/>
    <xf numFmtId="43" fontId="14" fillId="0" borderId="0" xfId="0" applyNumberFormat="1" applyFont="1"/>
    <xf numFmtId="0" fontId="19" fillId="0" borderId="0" xfId="0" applyFont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43" fontId="0" fillId="0" borderId="0" xfId="1" applyFont="1"/>
    <xf numFmtId="43" fontId="16" fillId="0" borderId="0" xfId="0" applyNumberFormat="1" applyFont="1"/>
    <xf numFmtId="43" fontId="6" fillId="0" borderId="0" xfId="0" applyNumberFormat="1" applyFont="1"/>
    <xf numFmtId="44" fontId="16" fillId="0" borderId="0" xfId="0" applyNumberFormat="1" applyFont="1"/>
    <xf numFmtId="43" fontId="9" fillId="0" borderId="4" xfId="1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21" fillId="0" borderId="0" xfId="0" applyFont="1" applyAlignment="1">
      <alignment vertical="center"/>
    </xf>
    <xf numFmtId="169" fontId="16" fillId="0" borderId="0" xfId="0" applyNumberFormat="1" applyFont="1"/>
    <xf numFmtId="169" fontId="17" fillId="0" borderId="0" xfId="0" applyNumberFormat="1" applyFont="1" applyAlignment="1">
      <alignment horizontal="center" wrapText="1"/>
    </xf>
    <xf numFmtId="169" fontId="18" fillId="0" borderId="0" xfId="0" applyNumberFormat="1" applyFont="1" applyAlignment="1">
      <alignment vertical="center"/>
    </xf>
    <xf numFmtId="170" fontId="6" fillId="0" borderId="4" xfId="2" applyNumberFormat="1" applyFont="1" applyBorder="1"/>
    <xf numFmtId="167" fontId="8" fillId="0" borderId="4" xfId="1" applyNumberFormat="1" applyFont="1" applyBorder="1"/>
    <xf numFmtId="43" fontId="6" fillId="0" borderId="0" xfId="1" applyFont="1"/>
    <xf numFmtId="167" fontId="6" fillId="4" borderId="0" xfId="1" applyNumberFormat="1" applyFont="1" applyFill="1" applyAlignment="1">
      <alignment horizontal="centerContinuous"/>
    </xf>
    <xf numFmtId="167" fontId="13" fillId="5" borderId="0" xfId="1" applyNumberFormat="1" applyFont="1" applyFill="1" applyAlignment="1">
      <alignment horizontal="centerContinuous"/>
    </xf>
    <xf numFmtId="167" fontId="13" fillId="0" borderId="0" xfId="1" applyNumberFormat="1" applyFont="1"/>
    <xf numFmtId="167" fontId="19" fillId="0" borderId="0" xfId="1" applyNumberFormat="1" applyFont="1"/>
    <xf numFmtId="167" fontId="7" fillId="6" borderId="6" xfId="1" applyNumberFormat="1" applyFont="1" applyFill="1" applyBorder="1" applyAlignment="1">
      <alignment horizontal="center" wrapText="1"/>
    </xf>
    <xf numFmtId="167" fontId="0" fillId="0" borderId="4" xfId="1" applyNumberFormat="1" applyFont="1" applyBorder="1" applyAlignment="1">
      <alignment horizontal="center"/>
    </xf>
    <xf numFmtId="167" fontId="6" fillId="0" borderId="0" xfId="1" applyNumberFormat="1" applyFont="1"/>
    <xf numFmtId="0" fontId="13" fillId="0" borderId="0" xfId="0" applyFont="1" applyAlignment="1">
      <alignment horizontal="centerContinuous"/>
    </xf>
    <xf numFmtId="169" fontId="13" fillId="0" borderId="0" xfId="1" applyNumberFormat="1" applyFont="1" applyBorder="1" applyAlignment="1">
      <alignment horizontal="right"/>
    </xf>
    <xf numFmtId="0" fontId="7" fillId="6" borderId="0" xfId="0" applyFont="1" applyFill="1" applyAlignment="1">
      <alignment wrapText="1"/>
    </xf>
    <xf numFmtId="0" fontId="6" fillId="0" borderId="0" xfId="1" applyNumberFormat="1" applyFont="1" applyBorder="1"/>
    <xf numFmtId="166" fontId="8" fillId="0" borderId="4" xfId="0" applyNumberFormat="1" applyFont="1" applyBorder="1" applyAlignment="1">
      <alignment horizontal="left"/>
    </xf>
    <xf numFmtId="43" fontId="16" fillId="0" borderId="0" xfId="1" applyFont="1" applyBorder="1" applyAlignment="1">
      <alignment horizontal="center"/>
    </xf>
    <xf numFmtId="167" fontId="16" fillId="0" borderId="0" xfId="1" applyNumberFormat="1" applyFont="1" applyBorder="1"/>
    <xf numFmtId="43" fontId="16" fillId="0" borderId="0" xfId="1" applyFont="1" applyBorder="1"/>
    <xf numFmtId="43" fontId="21" fillId="0" borderId="0" xfId="1" applyFont="1" applyBorder="1"/>
    <xf numFmtId="44" fontId="10" fillId="0" borderId="0" xfId="3" applyFont="1" applyBorder="1"/>
    <xf numFmtId="43" fontId="8" fillId="0" borderId="0" xfId="1" applyFont="1" applyBorder="1"/>
    <xf numFmtId="167" fontId="8" fillId="0" borderId="0" xfId="1" applyNumberFormat="1" applyFont="1" applyBorder="1"/>
    <xf numFmtId="167" fontId="6" fillId="0" borderId="0" xfId="1" applyNumberFormat="1" applyFont="1" applyBorder="1"/>
    <xf numFmtId="0" fontId="14" fillId="0" borderId="0" xfId="0" applyFont="1" applyAlignment="1">
      <alignment horizontal="left" wrapText="1"/>
    </xf>
    <xf numFmtId="43" fontId="24" fillId="0" borderId="0" xfId="1" applyFont="1" applyBorder="1"/>
    <xf numFmtId="167" fontId="25" fillId="0" borderId="0" xfId="1" applyNumberFormat="1" applyFont="1" applyBorder="1" applyAlignment="1">
      <alignment horizontal="center"/>
    </xf>
    <xf numFmtId="43" fontId="25" fillId="0" borderId="0" xfId="1" applyFont="1" applyBorder="1"/>
    <xf numFmtId="0" fontId="6" fillId="3" borderId="0" xfId="0" applyFont="1" applyFill="1"/>
    <xf numFmtId="0" fontId="13" fillId="3" borderId="0" xfId="0" applyFont="1" applyFill="1"/>
    <xf numFmtId="16" fontId="13" fillId="3" borderId="0" xfId="0" applyNumberFormat="1" applyFont="1" applyFill="1"/>
    <xf numFmtId="0" fontId="13" fillId="3" borderId="5" xfId="0" applyFont="1" applyFill="1" applyBorder="1"/>
    <xf numFmtId="16" fontId="13" fillId="3" borderId="5" xfId="0" applyNumberFormat="1" applyFont="1" applyFill="1" applyBorder="1"/>
    <xf numFmtId="167" fontId="25" fillId="0" borderId="0" xfId="1" applyNumberFormat="1" applyFont="1" applyBorder="1"/>
    <xf numFmtId="9" fontId="8" fillId="0" borderId="4" xfId="2" applyFont="1" applyBorder="1"/>
    <xf numFmtId="0" fontId="11" fillId="5" borderId="0" xfId="0" applyFont="1" applyFill="1" applyAlignment="1">
      <alignment horizontal="centerContinuous"/>
    </xf>
    <xf numFmtId="0" fontId="28" fillId="4" borderId="0" xfId="0" applyFont="1" applyFill="1" applyAlignment="1">
      <alignment horizontal="centerContinuous"/>
    </xf>
    <xf numFmtId="0" fontId="26" fillId="3" borderId="0" xfId="0" applyFont="1" applyFill="1" applyAlignment="1">
      <alignment horizontal="left"/>
    </xf>
    <xf numFmtId="0" fontId="23" fillId="3" borderId="0" xfId="0" applyFont="1" applyFill="1" applyAlignment="1">
      <alignment horizontal="left"/>
    </xf>
    <xf numFmtId="167" fontId="13" fillId="3" borderId="0" xfId="1" applyNumberFormat="1" applyFont="1" applyFill="1"/>
    <xf numFmtId="0" fontId="3" fillId="0" borderId="0" xfId="0" applyFont="1" applyAlignment="1">
      <alignment wrapText="1"/>
    </xf>
    <xf numFmtId="43" fontId="3" fillId="0" borderId="0" xfId="0" applyNumberFormat="1" applyFont="1"/>
    <xf numFmtId="0" fontId="0" fillId="0" borderId="4" xfId="0" applyBorder="1"/>
    <xf numFmtId="43" fontId="0" fillId="0" borderId="4" xfId="0" applyNumberFormat="1" applyBorder="1"/>
    <xf numFmtId="0" fontId="3" fillId="0" borderId="4" xfId="0" applyFont="1" applyBorder="1" applyAlignment="1">
      <alignment wrapText="1"/>
    </xf>
    <xf numFmtId="16" fontId="3" fillId="6" borderId="4" xfId="0" applyNumberFormat="1" applyFont="1" applyFill="1" applyBorder="1" applyAlignment="1">
      <alignment wrapText="1"/>
    </xf>
    <xf numFmtId="43" fontId="0" fillId="6" borderId="4" xfId="1" applyFont="1" applyFill="1" applyBorder="1"/>
    <xf numFmtId="0" fontId="0" fillId="6" borderId="4" xfId="0" applyFill="1" applyBorder="1"/>
    <xf numFmtId="167" fontId="22" fillId="0" borderId="0" xfId="1" applyNumberFormat="1" applyFont="1"/>
    <xf numFmtId="0" fontId="30" fillId="0" borderId="0" xfId="0" applyFont="1"/>
    <xf numFmtId="0" fontId="31" fillId="0" borderId="0" xfId="0" applyFont="1" applyAlignment="1">
      <alignment horizontal="center" wrapText="1"/>
    </xf>
    <xf numFmtId="0" fontId="32" fillId="0" borderId="0" xfId="1" applyNumberFormat="1" applyFont="1"/>
    <xf numFmtId="43" fontId="30" fillId="0" borderId="0" xfId="1" applyFont="1"/>
    <xf numFmtId="0" fontId="11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center"/>
    </xf>
    <xf numFmtId="0" fontId="13" fillId="5" borderId="0" xfId="0" applyFont="1" applyFill="1" applyAlignment="1">
      <alignment horizontal="centerContinuous" vertical="center"/>
    </xf>
    <xf numFmtId="167" fontId="13" fillId="5" borderId="0" xfId="1" applyNumberFormat="1" applyFont="1" applyFill="1" applyAlignment="1">
      <alignment horizontal="centerContinuous" vertical="center"/>
    </xf>
    <xf numFmtId="0" fontId="28" fillId="4" borderId="0" xfId="0" applyFont="1" applyFill="1" applyAlignment="1">
      <alignment horizontal="centerContinuous" vertical="center"/>
    </xf>
    <xf numFmtId="0" fontId="6" fillId="4" borderId="0" xfId="0" applyFont="1" applyFill="1" applyAlignment="1">
      <alignment horizontal="centerContinuous" vertical="center"/>
    </xf>
    <xf numFmtId="167" fontId="6" fillId="4" borderId="0" xfId="1" applyNumberFormat="1" applyFont="1" applyFill="1" applyAlignment="1">
      <alignment horizontal="centerContinuous" vertical="center"/>
    </xf>
    <xf numFmtId="171" fontId="14" fillId="0" borderId="0" xfId="0" applyNumberFormat="1" applyFont="1"/>
    <xf numFmtId="165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/>
    </xf>
    <xf numFmtId="166" fontId="23" fillId="0" borderId="0" xfId="0" applyNumberFormat="1" applyFont="1" applyAlignment="1">
      <alignment horizontal="left"/>
    </xf>
    <xf numFmtId="166" fontId="6" fillId="0" borderId="4" xfId="0" applyNumberFormat="1" applyFont="1" applyBorder="1" applyAlignment="1">
      <alignment horizontal="left"/>
    </xf>
    <xf numFmtId="166" fontId="8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1" fillId="3" borderId="10" xfId="0" applyFont="1" applyFill="1" applyBorder="1" applyAlignment="1">
      <alignment horizontal="left"/>
    </xf>
    <xf numFmtId="0" fontId="29" fillId="3" borderId="5" xfId="0" applyFont="1" applyFill="1" applyBorder="1"/>
    <xf numFmtId="2" fontId="0" fillId="0" borderId="0" xfId="0" applyNumberFormat="1"/>
    <xf numFmtId="172" fontId="16" fillId="0" borderId="0" xfId="0" applyNumberFormat="1" applyFont="1"/>
    <xf numFmtId="8" fontId="16" fillId="0" borderId="0" xfId="0" applyNumberFormat="1" applyFont="1"/>
    <xf numFmtId="167" fontId="13" fillId="3" borderId="11" xfId="1" applyNumberFormat="1" applyFont="1" applyFill="1" applyBorder="1"/>
    <xf numFmtId="0" fontId="29" fillId="3" borderId="0" xfId="0" applyFont="1" applyFill="1"/>
    <xf numFmtId="167" fontId="13" fillId="3" borderId="13" xfId="1" applyNumberFormat="1" applyFont="1" applyFill="1" applyBorder="1"/>
    <xf numFmtId="167" fontId="29" fillId="0" borderId="0" xfId="1" applyNumberFormat="1" applyFont="1" applyAlignment="1">
      <alignment horizontal="right"/>
    </xf>
    <xf numFmtId="0" fontId="7" fillId="6" borderId="14" xfId="0" applyFont="1" applyFill="1" applyBorder="1" applyAlignment="1">
      <alignment horizontal="center" wrapText="1"/>
    </xf>
    <xf numFmtId="0" fontId="7" fillId="6" borderId="15" xfId="0" applyFont="1" applyFill="1" applyBorder="1" applyAlignment="1">
      <alignment horizontal="center" wrapText="1"/>
    </xf>
    <xf numFmtId="167" fontId="7" fillId="6" borderId="15" xfId="1" applyNumberFormat="1" applyFont="1" applyFill="1" applyBorder="1" applyAlignment="1">
      <alignment horizontal="center" wrapText="1"/>
    </xf>
    <xf numFmtId="167" fontId="13" fillId="0" borderId="0" xfId="1" applyNumberFormat="1" applyFont="1" applyBorder="1"/>
    <xf numFmtId="0" fontId="14" fillId="0" borderId="17" xfId="0" applyFont="1" applyBorder="1"/>
    <xf numFmtId="0" fontId="19" fillId="0" borderId="17" xfId="0" applyFont="1" applyBorder="1"/>
    <xf numFmtId="167" fontId="19" fillId="0" borderId="17" xfId="1" applyNumberFormat="1" applyFont="1" applyBorder="1"/>
    <xf numFmtId="0" fontId="0" fillId="0" borderId="17" xfId="0" applyBorder="1"/>
    <xf numFmtId="0" fontId="12" fillId="0" borderId="17" xfId="0" applyFont="1" applyBorder="1"/>
    <xf numFmtId="0" fontId="13" fillId="0" borderId="17" xfId="0" applyFont="1" applyBorder="1" applyAlignment="1">
      <alignment horizontal="centerContinuous"/>
    </xf>
    <xf numFmtId="0" fontId="13" fillId="0" borderId="17" xfId="0" applyFont="1" applyBorder="1" applyAlignment="1">
      <alignment horizontal="left"/>
    </xf>
    <xf numFmtId="167" fontId="13" fillId="0" borderId="17" xfId="1" applyNumberFormat="1" applyFont="1" applyBorder="1" applyAlignment="1">
      <alignment horizontal="centerContinuous"/>
    </xf>
    <xf numFmtId="171" fontId="11" fillId="3" borderId="10" xfId="1" applyNumberFormat="1" applyFont="1" applyFill="1" applyBorder="1" applyAlignment="1">
      <alignment horizontal="left"/>
    </xf>
    <xf numFmtId="0" fontId="11" fillId="3" borderId="12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71" fontId="26" fillId="3" borderId="7" xfId="1" applyNumberFormat="1" applyFont="1" applyFill="1" applyBorder="1" applyAlignment="1">
      <alignment horizontal="left" vertical="top"/>
    </xf>
    <xf numFmtId="170" fontId="6" fillId="4" borderId="0" xfId="2" applyNumberFormat="1" applyFont="1" applyFill="1" applyAlignment="1">
      <alignment horizontal="centerContinuous" vertical="center"/>
    </xf>
    <xf numFmtId="170" fontId="13" fillId="5" borderId="0" xfId="2" applyNumberFormat="1" applyFont="1" applyFill="1" applyAlignment="1">
      <alignment horizontal="centerContinuous" vertical="center"/>
    </xf>
    <xf numFmtId="170" fontId="13" fillId="0" borderId="17" xfId="2" applyNumberFormat="1" applyFont="1" applyBorder="1" applyAlignment="1">
      <alignment horizontal="centerContinuous"/>
    </xf>
    <xf numFmtId="170" fontId="13" fillId="0" borderId="0" xfId="2" applyNumberFormat="1" applyFont="1"/>
    <xf numFmtId="170" fontId="6" fillId="0" borderId="0" xfId="2" applyNumberFormat="1" applyFont="1"/>
    <xf numFmtId="170" fontId="6" fillId="0" borderId="0" xfId="2" applyNumberFormat="1" applyFont="1" applyBorder="1"/>
    <xf numFmtId="170" fontId="16" fillId="0" borderId="0" xfId="2" applyNumberFormat="1" applyFont="1"/>
    <xf numFmtId="170" fontId="0" fillId="0" borderId="0" xfId="2" applyNumberFormat="1" applyFont="1"/>
    <xf numFmtId="170" fontId="7" fillId="6" borderId="16" xfId="2" applyNumberFormat="1" applyFont="1" applyFill="1" applyBorder="1" applyAlignment="1">
      <alignment horizontal="center" wrapText="1"/>
    </xf>
    <xf numFmtId="170" fontId="23" fillId="0" borderId="0" xfId="2" applyNumberFormat="1" applyFont="1" applyAlignment="1">
      <alignment horizontal="right"/>
    </xf>
    <xf numFmtId="170" fontId="6" fillId="0" borderId="0" xfId="2" applyNumberFormat="1" applyFont="1" applyAlignment="1">
      <alignment horizontal="right"/>
    </xf>
    <xf numFmtId="170" fontId="16" fillId="0" borderId="0" xfId="2" applyNumberFormat="1" applyFont="1" applyAlignment="1">
      <alignment horizontal="right"/>
    </xf>
    <xf numFmtId="0" fontId="3" fillId="7" borderId="6" xfId="0" applyFont="1" applyFill="1" applyBorder="1"/>
    <xf numFmtId="0" fontId="0" fillId="7" borderId="18" xfId="0" applyFill="1" applyBorder="1"/>
    <xf numFmtId="0" fontId="3" fillId="7" borderId="18" xfId="0" applyFont="1" applyFill="1" applyBorder="1"/>
    <xf numFmtId="0" fontId="0" fillId="7" borderId="18" xfId="0" applyFill="1" applyBorder="1" applyAlignment="1">
      <alignment horizontal="left" vertical="center" indent="1"/>
    </xf>
    <xf numFmtId="0" fontId="0" fillId="7" borderId="18" xfId="0" applyFill="1" applyBorder="1" applyAlignment="1">
      <alignment horizontal="right"/>
    </xf>
    <xf numFmtId="0" fontId="0" fillId="7" borderId="7" xfId="0" applyFill="1" applyBorder="1"/>
    <xf numFmtId="167" fontId="19" fillId="0" borderId="0" xfId="1" applyNumberFormat="1" applyFont="1" applyBorder="1"/>
    <xf numFmtId="170" fontId="0" fillId="0" borderId="0" xfId="2" applyNumberFormat="1" applyFont="1" applyBorder="1"/>
    <xf numFmtId="15" fontId="33" fillId="0" borderId="0" xfId="0" applyNumberFormat="1" applyFont="1"/>
    <xf numFmtId="0" fontId="33" fillId="0" borderId="0" xfId="0" applyFont="1"/>
    <xf numFmtId="164" fontId="6" fillId="0" borderId="0" xfId="0" applyNumberFormat="1" applyFont="1"/>
    <xf numFmtId="167" fontId="0" fillId="0" borderId="0" xfId="1" applyNumberFormat="1" applyFont="1"/>
    <xf numFmtId="174" fontId="0" fillId="0" borderId="0" xfId="0" applyNumberFormat="1"/>
    <xf numFmtId="15" fontId="21" fillId="0" borderId="0" xfId="0" applyNumberFormat="1" applyFont="1" applyAlignment="1">
      <alignment vertical="center"/>
    </xf>
    <xf numFmtId="173" fontId="0" fillId="0" borderId="0" xfId="1" applyNumberFormat="1" applyFont="1"/>
    <xf numFmtId="174" fontId="0" fillId="0" borderId="0" xfId="1" applyNumberFormat="1" applyFont="1"/>
    <xf numFmtId="0" fontId="36" fillId="0" borderId="0" xfId="0" applyFont="1"/>
    <xf numFmtId="43" fontId="36" fillId="0" borderId="0" xfId="1" applyFont="1"/>
    <xf numFmtId="164" fontId="35" fillId="0" borderId="0" xfId="0" applyNumberFormat="1" applyFont="1"/>
    <xf numFmtId="169" fontId="26" fillId="3" borderId="0" xfId="0" applyNumberFormat="1" applyFont="1" applyFill="1" applyAlignment="1">
      <alignment horizontal="left"/>
    </xf>
    <xf numFmtId="169" fontId="34" fillId="0" borderId="0" xfId="1" applyNumberFormat="1" applyFont="1" applyBorder="1" applyAlignment="1">
      <alignment horizontal="left"/>
    </xf>
    <xf numFmtId="169" fontId="11" fillId="3" borderId="10" xfId="0" applyNumberFormat="1" applyFont="1" applyFill="1" applyBorder="1" applyAlignment="1">
      <alignment horizontal="left"/>
    </xf>
    <xf numFmtId="169" fontId="11" fillId="3" borderId="0" xfId="0" applyNumberFormat="1" applyFont="1" applyFill="1" applyAlignment="1">
      <alignment horizontal="left"/>
    </xf>
    <xf numFmtId="169" fontId="13" fillId="0" borderId="0" xfId="1" applyNumberFormat="1" applyFont="1" applyBorder="1" applyAlignment="1">
      <alignment horizontal="left"/>
    </xf>
    <xf numFmtId="0" fontId="6" fillId="0" borderId="0" xfId="0" applyFont="1" applyAlignment="1">
      <alignment horizontal="right" vertical="top"/>
    </xf>
    <xf numFmtId="0" fontId="3" fillId="6" borderId="8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</cellXfs>
  <cellStyles count="5">
    <cellStyle name="Comma" xfId="1" builtinId="3"/>
    <cellStyle name="Currency_Sheet1" xfId="3" xr:uid="{120938EA-CD8E-4874-88D8-F81E166900E4}"/>
    <cellStyle name="Date" xfId="4" xr:uid="{DD7A5FDA-972D-435D-A5B1-A4C686A2EC19}"/>
    <cellStyle name="Normal" xfId="0" builtinId="0"/>
    <cellStyle name="Percent" xfId="2" builtinId="5"/>
  </cellStyles>
  <dxfs count="8">
    <dxf>
      <font>
        <b/>
        <i val="0"/>
      </font>
    </dxf>
    <dxf>
      <font>
        <color theme="1" tint="0.24994659260841701"/>
      </font>
      <fill>
        <patternFill patternType="solid">
          <fgColor theme="4" tint="0.79992065187536243"/>
          <bgColor theme="0"/>
        </patternFill>
      </fill>
    </dxf>
    <dxf>
      <font>
        <color theme="1" tint="0.24994659260841701"/>
      </font>
      <fill>
        <patternFill patternType="solid">
          <fgColor theme="4" tint="0.79992065187536243"/>
          <bgColor theme="6" tint="0.79998168889431442"/>
        </patternFill>
      </fill>
    </dxf>
    <dxf>
      <font>
        <b/>
        <i val="0"/>
        <color theme="1" tint="0.24994659260841701"/>
      </font>
    </dxf>
    <dxf>
      <font>
        <b/>
        <i val="0"/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bottom style="thick">
          <color theme="0"/>
        </bottom>
      </border>
    </dxf>
    <dxf>
      <font>
        <color theme="1" tint="0.24994659260841701"/>
      </font>
      <border diagonalUp="0" diagonalDown="0">
        <left/>
        <right/>
        <top/>
        <bottom style="thick">
          <color theme="4"/>
        </bottom>
        <vertical/>
        <horizontal/>
      </border>
    </dxf>
  </dxfs>
  <tableStyles count="1" defaultTableStyle="TableStyleMedium2" defaultPivotStyle="PivotStyleLight16">
    <tableStyle name="Loan Calculator" pivot="0" count="7" xr9:uid="{B328ECF9-CCBD-41B3-91E6-1AE947F0FA9D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68550</xdr:rowOff>
    </xdr:from>
    <xdr:to>
      <xdr:col>11</xdr:col>
      <xdr:colOff>330825</xdr:colOff>
      <xdr:row>4</xdr:row>
      <xdr:rowOff>172601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25004D-2AD6-475C-A33B-B3DC797B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7839" y="68550"/>
          <a:ext cx="1735623" cy="979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0</xdr:rowOff>
    </xdr:from>
    <xdr:to>
      <xdr:col>10</xdr:col>
      <xdr:colOff>248920</xdr:colOff>
      <xdr:row>1</xdr:row>
      <xdr:rowOff>96520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0D6DBF-082E-978D-49B6-7F930D700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5100" y="0"/>
          <a:ext cx="1941830" cy="9499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</xdr:row>
          <xdr:rowOff>8890</xdr:rowOff>
        </xdr:from>
        <xdr:to>
          <xdr:col>10</xdr:col>
          <xdr:colOff>20320</xdr:colOff>
          <xdr:row>14</xdr:row>
          <xdr:rowOff>20320</xdr:rowOff>
        </xdr:to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CF66FF17-559E-ED63-8578-14DEABEFA8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Loan Quote Source'!$B$10:$J$14" spid="_x0000_s220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6200" y="2805430"/>
              <a:ext cx="9563100" cy="108712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F9C2-FA45-4FC6-B0E2-0285901E9B1A}">
  <dimension ref="A2:AA159"/>
  <sheetViews>
    <sheetView workbookViewId="0">
      <selection activeCell="C7" sqref="C7"/>
    </sheetView>
  </sheetViews>
  <sheetFormatPr defaultColWidth="9.1796875" defaultRowHeight="14.5"/>
  <cols>
    <col min="1" max="1" width="3" style="18" bestFit="1" customWidth="1"/>
    <col min="2" max="2" width="27.54296875" style="18" customWidth="1"/>
    <col min="3" max="3" width="22.7265625" style="18" customWidth="1"/>
    <col min="4" max="4" width="16.81640625" style="18" bestFit="1" customWidth="1"/>
    <col min="5" max="5" width="14.1796875" style="18" customWidth="1"/>
    <col min="6" max="6" width="12.26953125" style="18" customWidth="1"/>
    <col min="7" max="7" width="14.1796875" style="18" customWidth="1"/>
    <col min="8" max="8" width="10.26953125" style="69" customWidth="1"/>
    <col min="9" max="9" width="14" style="18" customWidth="1"/>
    <col min="10" max="10" width="14.7265625" style="32" customWidth="1"/>
    <col min="11" max="11" width="6" style="32" customWidth="1"/>
    <col min="12" max="12" width="11.7265625" style="32" customWidth="1"/>
    <col min="13" max="13" width="13.81640625" style="32" customWidth="1"/>
    <col min="14" max="14" width="13.1796875" style="32" customWidth="1"/>
    <col min="15" max="15" width="9.1796875" style="32" customWidth="1"/>
    <col min="16" max="16" width="10.26953125" style="32" customWidth="1"/>
    <col min="17" max="17" width="9.1796875" style="32" customWidth="1"/>
    <col min="18" max="19" width="4.453125" style="18" customWidth="1"/>
    <col min="20" max="20" width="20.54296875" style="57" customWidth="1"/>
    <col min="21" max="21" width="17.7265625" style="57" customWidth="1"/>
    <col min="22" max="22" width="9.1796875" style="18"/>
    <col min="23" max="23" width="9.81640625" style="108" bestFit="1" customWidth="1"/>
    <col min="24" max="24" width="9.1796875" style="108"/>
    <col min="25" max="26" width="9.1796875" style="18"/>
    <col min="27" max="27" width="9.453125" style="18" bestFit="1" customWidth="1"/>
    <col min="28" max="16384" width="9.1796875" style="18"/>
  </cols>
  <sheetData>
    <row r="2" spans="1:24" ht="21">
      <c r="B2" s="95" t="s">
        <v>19</v>
      </c>
      <c r="C2" s="22"/>
      <c r="D2" s="22"/>
      <c r="E2" s="22"/>
      <c r="F2" s="22"/>
      <c r="G2" s="22"/>
      <c r="H2" s="63"/>
      <c r="I2" s="22"/>
      <c r="J2" s="22"/>
      <c r="K2" s="22"/>
    </row>
    <row r="3" spans="1:24" ht="17.149999999999999" customHeight="1">
      <c r="A3" s="17"/>
      <c r="B3" s="94" t="s">
        <v>97</v>
      </c>
      <c r="C3" s="25"/>
      <c r="D3" s="26"/>
      <c r="E3" s="26"/>
      <c r="F3" s="26"/>
      <c r="G3" s="26"/>
      <c r="H3" s="64"/>
      <c r="I3" s="26"/>
      <c r="J3" s="26"/>
      <c r="K3" s="26"/>
      <c r="M3" s="32" t="s">
        <v>88</v>
      </c>
    </row>
    <row r="4" spans="1:24" ht="17.149999999999999" customHeight="1" thickBot="1">
      <c r="A4" s="17"/>
      <c r="B4" s="139" t="s">
        <v>76</v>
      </c>
      <c r="C4" s="143"/>
      <c r="D4" s="144"/>
      <c r="E4" s="145"/>
      <c r="F4" s="144"/>
      <c r="G4" s="144"/>
      <c r="H4" s="146"/>
      <c r="I4" s="144"/>
      <c r="J4" s="144"/>
      <c r="K4" s="70"/>
      <c r="N4" s="50"/>
    </row>
    <row r="5" spans="1:24" ht="17.149999999999999" customHeight="1">
      <c r="A5" s="17"/>
      <c r="B5" s="47" t="s">
        <v>20</v>
      </c>
      <c r="C5" s="150">
        <f>'Loan Quote '!C5</f>
        <v>108200.72</v>
      </c>
      <c r="D5" s="97"/>
      <c r="E5" s="87"/>
      <c r="F5" s="87"/>
      <c r="G5" s="87"/>
      <c r="H5" s="98"/>
      <c r="I5" s="24"/>
      <c r="J5" s="24"/>
      <c r="K5" s="24"/>
    </row>
    <row r="6" spans="1:24" ht="17.149999999999999" customHeight="1">
      <c r="A6" s="17"/>
      <c r="B6" s="47" t="s">
        <v>38</v>
      </c>
      <c r="C6" s="182">
        <f>'Loan Quote '!C6</f>
        <v>46009</v>
      </c>
      <c r="D6" s="182"/>
      <c r="E6" s="87"/>
      <c r="F6" s="87"/>
      <c r="G6" s="87"/>
      <c r="H6" s="98"/>
      <c r="I6" s="24"/>
      <c r="J6" s="24"/>
      <c r="K6" s="24"/>
      <c r="N6" s="129">
        <f>EDATE(C6,60)</f>
        <v>47835</v>
      </c>
    </row>
    <row r="7" spans="1:24" ht="17.149999999999999" customHeight="1">
      <c r="A7" s="17"/>
      <c r="B7" s="47" t="s">
        <v>21</v>
      </c>
      <c r="C7" s="96" t="str">
        <f>'Loan Quote '!C7</f>
        <v>5 Year Loan Calculation - Bred Heifers and Bred Cows &lt;5 years Dec due date</v>
      </c>
      <c r="D7" s="97"/>
      <c r="E7" s="88"/>
      <c r="F7" s="89"/>
      <c r="G7" s="88"/>
      <c r="H7" s="98"/>
      <c r="J7" s="18"/>
      <c r="K7" s="18"/>
    </row>
    <row r="8" spans="1:24" ht="35.5" customHeight="1">
      <c r="A8" s="17"/>
      <c r="B8" s="83" t="s">
        <v>79</v>
      </c>
      <c r="C8" s="96" t="str">
        <f>'Loan Quote '!C8</f>
        <v>No</v>
      </c>
      <c r="D8" s="97"/>
      <c r="E8" s="88"/>
      <c r="F8" s="89"/>
      <c r="G8" s="88"/>
      <c r="H8" s="98"/>
      <c r="J8" s="18"/>
      <c r="K8" s="18"/>
    </row>
    <row r="9" spans="1:24" ht="16.5" customHeight="1">
      <c r="A9" s="17"/>
      <c r="G9" s="24"/>
      <c r="H9" s="138"/>
      <c r="J9" s="18"/>
      <c r="K9" s="18"/>
      <c r="N9" s="36"/>
    </row>
    <row r="10" spans="1:24" ht="17.149999999999999" customHeight="1" thickBot="1">
      <c r="A10" s="17"/>
      <c r="B10" s="139" t="s">
        <v>77</v>
      </c>
      <c r="C10" s="139"/>
      <c r="D10" s="140"/>
      <c r="E10" s="140"/>
      <c r="F10" s="140"/>
      <c r="G10" s="140"/>
      <c r="H10" s="141"/>
      <c r="I10" s="142"/>
      <c r="J10" s="142"/>
      <c r="K10"/>
    </row>
    <row r="11" spans="1:24" ht="17.149999999999999" customHeight="1">
      <c r="A11" s="17"/>
      <c r="B11" s="44" t="s">
        <v>37</v>
      </c>
      <c r="C11" s="45">
        <f>C5</f>
        <v>108200.72</v>
      </c>
      <c r="D11" s="46"/>
      <c r="E11" s="54" t="s">
        <v>72</v>
      </c>
      <c r="G11" s="134">
        <f>_xlfn.XLOOKUP(C7,Data!B:B,Data!F:F)</f>
        <v>5</v>
      </c>
      <c r="H11" s="66"/>
      <c r="I11" s="54" t="s">
        <v>106</v>
      </c>
      <c r="J11" s="71"/>
      <c r="K11" s="71"/>
    </row>
    <row r="12" spans="1:24" ht="17.149999999999999" customHeight="1">
      <c r="A12" s="17"/>
      <c r="B12" s="44" t="s">
        <v>39</v>
      </c>
      <c r="C12" s="107">
        <f>H126</f>
        <v>1824</v>
      </c>
      <c r="D12" s="46"/>
      <c r="E12" s="55" t="s">
        <v>30</v>
      </c>
      <c r="G12" s="120" t="str">
        <f>_xlfn.XLOOKUP(C7,Data!B:B,Data!D:D)</f>
        <v>December 15</v>
      </c>
      <c r="H12" s="66"/>
      <c r="I12" s="183">
        <f ca="1">TODAY()</f>
        <v>46077</v>
      </c>
      <c r="J12" s="183"/>
      <c r="K12"/>
      <c r="M12" s="50"/>
    </row>
    <row r="13" spans="1:24" ht="17.149999999999999" customHeight="1">
      <c r="A13" s="17"/>
      <c r="B13" s="44" t="s">
        <v>74</v>
      </c>
      <c r="C13" s="45">
        <f>I126</f>
        <v>17767.11128206849</v>
      </c>
      <c r="D13" s="46"/>
      <c r="E13" s="47" t="s">
        <v>73</v>
      </c>
      <c r="G13" s="121" t="s">
        <v>87</v>
      </c>
      <c r="H13" s="66"/>
      <c r="I13"/>
      <c r="J13"/>
      <c r="K13"/>
      <c r="M13" s="50"/>
    </row>
    <row r="14" spans="1:24" ht="17.149999999999999" customHeight="1">
      <c r="A14" s="17"/>
      <c r="B14" s="44" t="s">
        <v>75</v>
      </c>
      <c r="C14" s="45">
        <f>G126</f>
        <v>125967.8312820685</v>
      </c>
      <c r="D14" s="46"/>
      <c r="E14" s="47" t="s">
        <v>107</v>
      </c>
      <c r="F14" s="46"/>
      <c r="G14" s="46" cm="1">
        <f t="array" aca="1" ref="G14" ca="1">IFERROR(INDEX(Rates!E5:E53, MATCH(1, (Rates!C5:C53 &lt;= TODAY()) * (Rates!D5:D53 &gt;= TODAY()), 0)), 0)</f>
        <v>4.45</v>
      </c>
      <c r="H14" s="66"/>
      <c r="I14"/>
      <c r="J14"/>
      <c r="K14"/>
      <c r="M14" s="73"/>
    </row>
    <row r="15" spans="1:24" ht="17.149999999999999" customHeight="1">
      <c r="A15" s="17"/>
      <c r="B15" s="23"/>
      <c r="C15" s="40"/>
      <c r="D15" s="24"/>
      <c r="E15" s="24"/>
      <c r="F15" s="24"/>
      <c r="G15" s="24"/>
      <c r="H15" s="65"/>
      <c r="J15" s="18"/>
      <c r="K15" s="18"/>
      <c r="N15" s="32" t="s">
        <v>60</v>
      </c>
    </row>
    <row r="16" spans="1:24" s="30" customFormat="1" ht="29">
      <c r="B16" s="41" t="s">
        <v>11</v>
      </c>
      <c r="C16" s="41" t="s">
        <v>12</v>
      </c>
      <c r="D16" s="41" t="s">
        <v>16</v>
      </c>
      <c r="E16" s="41" t="s">
        <v>43</v>
      </c>
      <c r="F16" s="41" t="s">
        <v>42</v>
      </c>
      <c r="G16" s="41" t="s">
        <v>44</v>
      </c>
      <c r="H16" s="67" t="s">
        <v>17</v>
      </c>
      <c r="I16" s="42" t="s">
        <v>18</v>
      </c>
      <c r="J16" s="42" t="s">
        <v>45</v>
      </c>
      <c r="K16" s="72"/>
      <c r="L16" s="33" t="s">
        <v>15</v>
      </c>
      <c r="M16" s="34" t="s">
        <v>9</v>
      </c>
      <c r="N16" s="34" t="s">
        <v>40</v>
      </c>
      <c r="O16" s="33"/>
      <c r="P16" s="48" t="s">
        <v>41</v>
      </c>
      <c r="Q16" s="33"/>
      <c r="R16" s="33"/>
      <c r="S16" s="33"/>
      <c r="T16" s="58"/>
      <c r="U16" s="58"/>
      <c r="W16" s="109"/>
      <c r="X16" s="109"/>
    </row>
    <row r="17" spans="2:27">
      <c r="B17" s="123">
        <f t="shared" ref="B17:B48" si="0">IF(B16="-","-",IF(D17&gt;0,T17,"-"))</f>
        <v>46009</v>
      </c>
      <c r="C17" s="123">
        <f t="shared" ref="C17:C48" si="1">IF(C16="-","-",IF(D17&gt;0,U17,"-"))</f>
        <v>46022</v>
      </c>
      <c r="D17" s="53">
        <f>C5</f>
        <v>108200.72</v>
      </c>
      <c r="E17" s="53">
        <f>ROUND(($C$5-SUM($E$16:E16))*P17,2)</f>
        <v>0</v>
      </c>
      <c r="F17" s="53">
        <f>IF(Q17=1,SUM($I$16:$I17)-SUM($F$15:F15),IF((IF(E17&gt;0,SUM($I$16:$I17),0))-SUM($F$15:F15)&lt;0,0,(IF(E17&gt;0,SUM($I$16:$I17),0))-SUM($F$15:F15)))</f>
        <v>0</v>
      </c>
      <c r="G17" s="53">
        <f>E17+F17</f>
        <v>0</v>
      </c>
      <c r="H17" s="68">
        <f t="shared" ref="H17:H80" si="2">IF(ROUND(D17,0)=0,0,IFERROR(C17-B17+1,0))</f>
        <v>14</v>
      </c>
      <c r="I17" s="19">
        <f t="shared" ref="I17:I48" si="3">IFERROR(L17*H17*D17/100,0)</f>
        <v>222.03380624657541</v>
      </c>
      <c r="J17" s="60">
        <f>P17</f>
        <v>0</v>
      </c>
      <c r="K17" s="73">
        <f t="shared" ref="K17:K48" si="4">IF(I17&lt;=0,0,1)</f>
        <v>1</v>
      </c>
      <c r="L17" s="35" cm="1">
        <f t="array" ref="L17">IFERROR(INDEX(Rates!$G$5:$G$117,MATCH(1, (Rates!$C$5:$C$117&lt;=$C17)*(Rates!$D$5:$D$117&gt;=$B17), 0)), 0)</f>
        <v>1.4657534246575345E-2</v>
      </c>
      <c r="M17" s="36" t="str">
        <f>IF(U17=0,"-",TEXT(U17,"mmmm")&amp;" "&amp;TEXT(U17,"dd"))</f>
        <v>December 31</v>
      </c>
      <c r="N17" s="37">
        <f>IF(M17=$G$12,M17,0)</f>
        <v>0</v>
      </c>
      <c r="O17" s="38">
        <f>IF(IF($C$8="Yes",IF(N17&gt;1,COUNTIF($N$17:N17,$G$12),0)-1,IF(N17&gt;1,COUNTIF($N$17:N17,$G$12),0))&lt;0,0,IF($C$8="Yes",IF(N17&gt;1,COUNTIF($N$17:N17,$G$12),0)-1,IF(N17&gt;1,COUNTIF($N$17:N17,$G$12),0)))</f>
        <v>0</v>
      </c>
      <c r="P17" s="39">
        <f>IFERROR(INDEX(Rates!$P$4:$U$13,MATCH($C$7,Rates!$O$4:$O$13,0),MATCH(O17,Rates!$P$2:$U$2,0)),0)</f>
        <v>0</v>
      </c>
      <c r="Q17" s="50">
        <f>IF(AND(M17=N17,O17=0),1,0)</f>
        <v>0</v>
      </c>
      <c r="R17" s="50"/>
      <c r="S17" s="32"/>
      <c r="T17" s="59" cm="1">
        <f t="array" ref="T17:T88">IF(G11=5,_xlfn._xlws.SORT(_xlfn.UNIQUE(Data!R2:R154)),_xlfn._xlws.SORT(_xlfn.UNIQUE(Data!T2:T154)))</f>
        <v>46009</v>
      </c>
      <c r="U17" s="57" cm="1">
        <f t="array" ref="U17:U88">IF(G11=5,_xlfn._xlws.SORT(_xlfn.UNIQUE(Data!S2:S154)),_xlfn._xlws.SORT(_xlfn.UNIQUE(Data!U2:U154)))</f>
        <v>46022</v>
      </c>
      <c r="V17" s="56" t="str" cm="1">
        <f t="array" ref="V17">IF(D17&lt;=0,    IF(G11=5,        _xlfn._xlws.SORT(_xlfn.UNIQUE(Data!R2:R154)),        _xlfn._xlws.SORT(_xlfn.UNIQUE(Data!T2:T154))    ),   "")</f>
        <v/>
      </c>
      <c r="W17" s="110">
        <f>IF(OR(U17="-", U17=0), "-", YEAR(U17))</f>
        <v>2025</v>
      </c>
      <c r="X17" s="111">
        <f t="shared" ref="X17:X48" si="5">IF(G17&gt;0,I17,0)</f>
        <v>0</v>
      </c>
      <c r="AA17" s="173"/>
    </row>
    <row r="18" spans="2:27">
      <c r="B18" s="123">
        <f t="shared" si="0"/>
        <v>46023</v>
      </c>
      <c r="C18" s="123">
        <f t="shared" si="1"/>
        <v>46053</v>
      </c>
      <c r="D18" s="53">
        <f>IFERROR(IF(ROUND(D17,0)&lt;=0,"-",IFERROR(IF(U18="-","-",IFERROR(IF(T18=EOMONTH(T18,-1)+1,SUMIFS($I$17:I17,T$17:T17,"&lt;="&amp;U17,T$17:T17,"&gt;"&amp;EOMONTH(U17,-1)),-E17-F17),0))+D17,0))+X17-X16,0)</f>
        <v>108422.75380624658</v>
      </c>
      <c r="E18" s="53">
        <f>ROUND(($C$5-SUM($E$16:E17))*P18,2)</f>
        <v>0</v>
      </c>
      <c r="F18" s="53">
        <f>IF(Q18=1,SUM($I$16:$I18)-SUM($F$15:F16),IF((IF(E18&gt;0,SUM($I$16:$I18),0))-SUM($F$15:F16)&lt;0,0,(IF(E18&gt;0,SUM($I$16:$I18),0))-SUM($F$15:F16)))</f>
        <v>0</v>
      </c>
      <c r="G18" s="53">
        <f t="shared" ref="G18:G81" si="6">E18+F18</f>
        <v>0</v>
      </c>
      <c r="H18" s="68">
        <f t="shared" si="2"/>
        <v>31</v>
      </c>
      <c r="I18" s="19">
        <f t="shared" si="3"/>
        <v>492.65517037715063</v>
      </c>
      <c r="J18" s="60">
        <f t="shared" ref="J18:J81" si="7">P18</f>
        <v>0</v>
      </c>
      <c r="K18" s="73">
        <f t="shared" si="4"/>
        <v>1</v>
      </c>
      <c r="L18" s="35" cm="1">
        <f t="array" ref="L18">IFERROR(INDEX(Rates!$G$5:$G$117,MATCH(1, (Rates!$C$5:$C$117&lt;=$C18)*(Rates!$D$5:$D$117&gt;=$B18), 0)), 0)</f>
        <v>1.4657534246575345E-2</v>
      </c>
      <c r="M18" s="36" t="str">
        <f>IF(U18=0,"-",TEXT(U18,"mmmm")&amp;" "&amp;TEXT(U18,"dd"))</f>
        <v>January 31</v>
      </c>
      <c r="N18" s="37">
        <f t="shared" ref="N18:N81" si="8">IF(M18=$G$12,M18,0)</f>
        <v>0</v>
      </c>
      <c r="O18" s="38">
        <f>IF(IF($C$8="Yes",IF(N18&gt;1,COUNTIF($N$17:N18,$G$12),0)-1,IF(N18&gt;1,COUNTIF($N$17:N18,$G$12),0))&lt;0,0,IF($C$8="Yes",IF(N18&gt;1,COUNTIF($N$17:N18,$G$12),0)-1,IF(N18&gt;1,COUNTIF($N$17:N18,$G$12),0)))</f>
        <v>0</v>
      </c>
      <c r="P18" s="39">
        <f>IFERROR(INDEX(Rates!$P$4:$U$13,MATCH($C$7,Rates!$O$4:$O$13,0),MATCH(O18,Rates!$P$2:$U$2,0)),0)</f>
        <v>0</v>
      </c>
      <c r="Q18" s="50">
        <f t="shared" ref="Q18:Q81" si="9">IF(AND(M18=N18,O18=0),1,0)</f>
        <v>0</v>
      </c>
      <c r="R18" s="50"/>
      <c r="S18" s="32"/>
      <c r="T18" s="59">
        <v>46023</v>
      </c>
      <c r="U18" s="57">
        <v>46053</v>
      </c>
      <c r="V18" s="51"/>
      <c r="W18" s="110">
        <f t="shared" ref="W18:W81" si="10">IF(OR(U18="-", U18=0), "-", YEAR(U18))</f>
        <v>2026</v>
      </c>
      <c r="X18" s="111">
        <f t="shared" si="5"/>
        <v>0</v>
      </c>
      <c r="AA18" s="173"/>
    </row>
    <row r="19" spans="2:27">
      <c r="B19" s="123">
        <f t="shared" si="0"/>
        <v>46054</v>
      </c>
      <c r="C19" s="123">
        <f t="shared" si="1"/>
        <v>46081</v>
      </c>
      <c r="D19" s="53">
        <f>IFERROR(IF(ROUND(D18,0)&lt;=0,"-",IFERROR(IF(U19="-","-",IFERROR(IF(T19=EOMONTH(T19,-1)+1,SUMIFS($I$17:I18,T$17:T18,"&lt;="&amp;U18,T$17:T18,"&gt;"&amp;EOMONTH(U18,-1)),-E18-F18),0))+D18,0))+X18-X17,0)</f>
        <v>108915.40897662373</v>
      </c>
      <c r="E19" s="53">
        <f>ROUND(($C$5-SUM($E$16:E18))*P19,2)</f>
        <v>0</v>
      </c>
      <c r="F19" s="53">
        <f>IF(Q19=1,SUM($I$16:$I19)-SUM($F$15:F17),IF((IF(E19&gt;0,SUM($I$16:$I19),0))-SUM($F$15:F17)&lt;0,0,(IF(E19&gt;0,SUM($I$16:$I19),0))-SUM($F$15:F17)))</f>
        <v>0</v>
      </c>
      <c r="G19" s="53">
        <f t="shared" si="6"/>
        <v>0</v>
      </c>
      <c r="H19" s="68">
        <f t="shared" si="2"/>
        <v>28</v>
      </c>
      <c r="I19" s="19">
        <f t="shared" si="3"/>
        <v>447.00077437529421</v>
      </c>
      <c r="J19" s="60">
        <f t="shared" si="7"/>
        <v>0</v>
      </c>
      <c r="K19" s="73">
        <f t="shared" si="4"/>
        <v>1</v>
      </c>
      <c r="L19" s="35" cm="1">
        <f t="array" ref="L19">IFERROR(INDEX(Rates!$G$5:$G$117,MATCH(1, (Rates!$C$5:$C$117&lt;=$C19)*(Rates!$D$5:$D$117&gt;=$B19), 0)), 0)</f>
        <v>1.4657534246575345E-2</v>
      </c>
      <c r="M19" s="36" t="str">
        <f t="shared" ref="M19:M82" si="11">IF(U19=0,"-",TEXT(U19,"mmmm")&amp;" "&amp;TEXT(U19,"dd"))</f>
        <v>February 28</v>
      </c>
      <c r="N19" s="37">
        <f t="shared" si="8"/>
        <v>0</v>
      </c>
      <c r="O19" s="38">
        <f>IF(IF($C$8="Yes",IF(N19&gt;1,COUNTIF($N$17:N19,$G$12),0)-1,IF(N19&gt;1,COUNTIF($N$17:N19,$G$12),0))&lt;0,0,IF($C$8="Yes",IF(N19&gt;1,COUNTIF($N$17:N19,$G$12),0)-1,IF(N19&gt;1,COUNTIF($N$17:N19,$G$12),0)))</f>
        <v>0</v>
      </c>
      <c r="P19" s="39">
        <f>IFERROR(INDEX(Rates!$P$4:$U$13,MATCH($C$7,Rates!$O$4:$O$13,0),MATCH(O19,Rates!$P$2:$U$2,0)),0)</f>
        <v>0</v>
      </c>
      <c r="Q19" s="50">
        <f t="shared" si="9"/>
        <v>0</v>
      </c>
      <c r="R19" s="50"/>
      <c r="S19" s="32"/>
      <c r="T19" s="59">
        <v>46054</v>
      </c>
      <c r="U19" s="57">
        <v>46081</v>
      </c>
      <c r="V19" s="51"/>
      <c r="W19" s="110">
        <f t="shared" si="10"/>
        <v>2026</v>
      </c>
      <c r="X19" s="111">
        <f t="shared" si="5"/>
        <v>0</v>
      </c>
      <c r="AA19" s="173"/>
    </row>
    <row r="20" spans="2:27">
      <c r="B20" s="123">
        <f t="shared" si="0"/>
        <v>46082</v>
      </c>
      <c r="C20" s="123">
        <f t="shared" si="1"/>
        <v>46112</v>
      </c>
      <c r="D20" s="53">
        <f>IFERROR(IF(ROUND(D19,0)&lt;=0,"-",IFERROR(IF(U20="-","-",IFERROR(IF(T20=EOMONTH(T20,-1)+1,SUMIFS($I$17:I19,T$17:T19,"&lt;="&amp;U19,T$17:T19,"&gt;"&amp;EOMONTH(U19,-1)),-E19-F19),0))+D19,0))+X19-X18,0)</f>
        <v>109362.40975099902</v>
      </c>
      <c r="E20" s="53">
        <f>ROUND(($C$5-SUM($E$16:E19))*P20,2)</f>
        <v>0</v>
      </c>
      <c r="F20" s="53">
        <f>IF(Q20=1,SUM($I$16:$I20)-SUM($F$15:F18),IF((IF(E20&gt;0,SUM($I$16:$I20),0))-SUM($F$15:F18)&lt;0,0,(IF(E20&gt;0,SUM($I$16:$I20),0))-SUM($F$15:F18)))</f>
        <v>0</v>
      </c>
      <c r="G20" s="53">
        <f t="shared" si="6"/>
        <v>0</v>
      </c>
      <c r="H20" s="68">
        <f t="shared" si="2"/>
        <v>31</v>
      </c>
      <c r="I20" s="19">
        <f t="shared" si="3"/>
        <v>496.92481252611486</v>
      </c>
      <c r="J20" s="60">
        <f t="shared" si="7"/>
        <v>0</v>
      </c>
      <c r="K20" s="73">
        <f t="shared" si="4"/>
        <v>1</v>
      </c>
      <c r="L20" s="35" cm="1">
        <f t="array" ref="L20">IFERROR(INDEX(Rates!$G$5:$G$117,MATCH(1, (Rates!$C$5:$C$117&lt;=$C20)*(Rates!$D$5:$D$117&gt;=$B20), 0)), 0)</f>
        <v>1.4657534246575345E-2</v>
      </c>
      <c r="M20" s="36" t="str">
        <f t="shared" si="11"/>
        <v>March 31</v>
      </c>
      <c r="N20" s="37">
        <f t="shared" si="8"/>
        <v>0</v>
      </c>
      <c r="O20" s="38">
        <f>IF(IF($C$8="Yes",IF(N20&gt;1,COUNTIF($N$17:N20,$G$12),0)-1,IF(N20&gt;1,COUNTIF($N$17:N20,$G$12),0))&lt;0,0,IF($C$8="Yes",IF(N20&gt;1,COUNTIF($N$17:N20,$G$12),0)-1,IF(N20&gt;1,COUNTIF($N$17:N20,$G$12),0)))</f>
        <v>0</v>
      </c>
      <c r="P20" s="39">
        <f>IFERROR(INDEX(Rates!$P$4:$U$13,MATCH($C$7,Rates!$O$4:$O$13,0),MATCH(O20,Rates!$P$2:$U$2,0)),0)</f>
        <v>0</v>
      </c>
      <c r="Q20" s="50">
        <f t="shared" si="9"/>
        <v>0</v>
      </c>
      <c r="R20" s="50"/>
      <c r="S20" s="32"/>
      <c r="T20" s="59">
        <v>46082</v>
      </c>
      <c r="U20" s="57">
        <v>46112</v>
      </c>
      <c r="V20" s="51"/>
      <c r="W20" s="110">
        <f t="shared" si="10"/>
        <v>2026</v>
      </c>
      <c r="X20" s="111">
        <f t="shared" si="5"/>
        <v>0</v>
      </c>
      <c r="AA20" s="173"/>
    </row>
    <row r="21" spans="2:27">
      <c r="B21" s="123">
        <f t="shared" si="0"/>
        <v>46113</v>
      </c>
      <c r="C21" s="123">
        <f t="shared" si="1"/>
        <v>46142</v>
      </c>
      <c r="D21" s="53">
        <f>IFERROR(IF(ROUND(D20,0)&lt;=0,"-",IFERROR(IF(U21="-","-",IFERROR(IF(T21=EOMONTH(T21,-1)+1,SUMIFS($I$17:I20,T$17:T20,"&lt;="&amp;U20,T$17:T20,"&gt;"&amp;EOMONTH(U20,-1)),-E20-F20),0))+D20,0))+X20-X19,0)</f>
        <v>109859.33456352515</v>
      </c>
      <c r="E21" s="53">
        <f>ROUND(($C$5-SUM($E$16:E20))*P21,2)</f>
        <v>0</v>
      </c>
      <c r="F21" s="53">
        <f>IF(Q21=1,SUM($I$16:$I21)-SUM($F$15:F19),IF((IF(E21&gt;0,SUM($I$16:$I21),0))-SUM($F$15:F19)&lt;0,0,(IF(E21&gt;0,SUM($I$16:$I21),0))-SUM($F$15:F19)))</f>
        <v>0</v>
      </c>
      <c r="G21" s="53">
        <f t="shared" si="6"/>
        <v>0</v>
      </c>
      <c r="H21" s="68">
        <f t="shared" si="2"/>
        <v>30</v>
      </c>
      <c r="I21" s="19">
        <f t="shared" si="3"/>
        <v>483.08008760125449</v>
      </c>
      <c r="J21" s="60">
        <f t="shared" si="7"/>
        <v>0</v>
      </c>
      <c r="K21" s="73">
        <f t="shared" si="4"/>
        <v>1</v>
      </c>
      <c r="L21" s="35" cm="1">
        <f t="array" ref="L21">IFERROR(INDEX(Rates!$G$5:$G$117,MATCH(1, (Rates!$C$5:$C$117&lt;=$C21)*(Rates!$D$5:$D$117&gt;=$B21), 0)), 0)</f>
        <v>1.4657534246575345E-2</v>
      </c>
      <c r="M21" s="36" t="str">
        <f t="shared" si="11"/>
        <v>April 30</v>
      </c>
      <c r="N21" s="37">
        <f t="shared" si="8"/>
        <v>0</v>
      </c>
      <c r="O21" s="38">
        <f>IF(IF($C$8="Yes",IF(N21&gt;1,COUNTIF($N$17:N21,$G$12),0)-1,IF(N21&gt;1,COUNTIF($N$17:N21,$G$12),0))&lt;0,0,IF($C$8="Yes",IF(N21&gt;1,COUNTIF($N$17:N21,$G$12),0)-1,IF(N21&gt;1,COUNTIF($N$17:N21,$G$12),0)))</f>
        <v>0</v>
      </c>
      <c r="P21" s="39">
        <f>IFERROR(INDEX(Rates!$P$4:$U$13,MATCH($C$7,Rates!$O$4:$O$13,0),MATCH(O21,Rates!$P$2:$U$2,0)),0)</f>
        <v>0</v>
      </c>
      <c r="Q21" s="50">
        <f t="shared" si="9"/>
        <v>0</v>
      </c>
      <c r="R21" s="50"/>
      <c r="S21" s="32"/>
      <c r="T21" s="59">
        <v>46113</v>
      </c>
      <c r="U21" s="57">
        <v>46142</v>
      </c>
      <c r="V21" s="51"/>
      <c r="W21" s="110">
        <f t="shared" si="10"/>
        <v>2026</v>
      </c>
      <c r="X21" s="111">
        <f t="shared" si="5"/>
        <v>0</v>
      </c>
      <c r="AA21" s="173"/>
    </row>
    <row r="22" spans="2:27">
      <c r="B22" s="123">
        <f t="shared" si="0"/>
        <v>46143</v>
      </c>
      <c r="C22" s="123">
        <f t="shared" si="1"/>
        <v>46173</v>
      </c>
      <c r="D22" s="53">
        <f>IFERROR(IF(ROUND(D21,0)&lt;=0,"-",IFERROR(IF(U22="-","-",IFERROR(IF(T22=EOMONTH(T22,-1)+1,SUMIFS($I$17:I21,T$17:T21,"&lt;="&amp;U21,T$17:T21,"&gt;"&amp;EOMONTH(U21,-1)),-E21-F21),0))+D21,0))+X21-X20,0)</f>
        <v>110342.4146511264</v>
      </c>
      <c r="E22" s="53">
        <f>ROUND(($C$5-SUM($E$16:E21))*P22,2)</f>
        <v>0</v>
      </c>
      <c r="F22" s="53">
        <f>IF(Q22=1,SUM($I$16:$I22)-SUM($F$15:F20),IF((IF(E22&gt;0,SUM($I$16:$I22),0))-SUM($F$15:F20)&lt;0,0,(IF(E22&gt;0,SUM($I$16:$I22),0))-SUM($F$15:F20)))</f>
        <v>0</v>
      </c>
      <c r="G22" s="53">
        <f t="shared" si="6"/>
        <v>0</v>
      </c>
      <c r="H22" s="68">
        <f t="shared" si="2"/>
        <v>31</v>
      </c>
      <c r="I22" s="19">
        <f t="shared" si="3"/>
        <v>501.37779369559775</v>
      </c>
      <c r="J22" s="60">
        <f t="shared" si="7"/>
        <v>0</v>
      </c>
      <c r="K22" s="73">
        <f t="shared" si="4"/>
        <v>1</v>
      </c>
      <c r="L22" s="35" cm="1">
        <f t="array" ref="L22">IFERROR(INDEX(Rates!$G$5:$G$117,MATCH(1, (Rates!$C$5:$C$117&lt;=$C22)*(Rates!$D$5:$D$117&gt;=$B22), 0)), 0)</f>
        <v>1.4657534246575345E-2</v>
      </c>
      <c r="M22" s="36" t="str">
        <f t="shared" si="11"/>
        <v>May 31</v>
      </c>
      <c r="N22" s="37">
        <f t="shared" si="8"/>
        <v>0</v>
      </c>
      <c r="O22" s="38">
        <f>IF(IF($C$8="Yes",IF(N22&gt;1,COUNTIF($N$17:N22,$G$12),0)-1,IF(N22&gt;1,COUNTIF($N$17:N22,$G$12),0))&lt;0,0,IF($C$8="Yes",IF(N22&gt;1,COUNTIF($N$17:N22,$G$12),0)-1,IF(N22&gt;1,COUNTIF($N$17:N22,$G$12),0)))</f>
        <v>0</v>
      </c>
      <c r="P22" s="39">
        <f>IFERROR(INDEX(Rates!$P$4:$U$13,MATCH($C$7,Rates!$O$4:$O$13,0),MATCH(O22,Rates!$P$2:$U$2,0)),0)</f>
        <v>0</v>
      </c>
      <c r="Q22" s="50">
        <f t="shared" si="9"/>
        <v>0</v>
      </c>
      <c r="R22" s="50"/>
      <c r="S22" s="32"/>
      <c r="T22" s="59">
        <v>46143</v>
      </c>
      <c r="U22" s="57">
        <v>46173</v>
      </c>
      <c r="V22" s="51"/>
      <c r="W22" s="110">
        <f t="shared" si="10"/>
        <v>2026</v>
      </c>
      <c r="X22" s="111">
        <f t="shared" si="5"/>
        <v>0</v>
      </c>
      <c r="AA22" s="173"/>
    </row>
    <row r="23" spans="2:27">
      <c r="B23" s="123">
        <f t="shared" si="0"/>
        <v>46174</v>
      </c>
      <c r="C23" s="123">
        <f t="shared" si="1"/>
        <v>46188</v>
      </c>
      <c r="D23" s="53">
        <f>IFERROR(IF(ROUND(D22,0)&lt;=0,"-",IFERROR(IF(U23="-","-",IFERROR(IF(T23=EOMONTH(T23,-1)+1,SUMIFS($I$17:I22,T$17:T22,"&lt;="&amp;U22,T$17:T22,"&gt;"&amp;EOMONTH(U22,-1)),-E22-F22),0))+D22,0))+X22-X21,0)</f>
        <v>110843.792444822</v>
      </c>
      <c r="E23" s="53">
        <f>ROUND(($C$5-SUM($E$16:E22))*P23,2)</f>
        <v>0</v>
      </c>
      <c r="F23" s="53">
        <f>IF(Q23=1,SUM($I$16:$I23)-SUM($F$15:F21),IF((IF(E23&gt;0,SUM($I$16:$I23),0))-SUM($F$15:F21)&lt;0,0,(IF(E23&gt;0,SUM($I$16:$I23),0))-SUM($F$15:F21)))</f>
        <v>0</v>
      </c>
      <c r="G23" s="53">
        <f t="shared" si="6"/>
        <v>0</v>
      </c>
      <c r="H23" s="68">
        <f t="shared" si="2"/>
        <v>15</v>
      </c>
      <c r="I23" s="19">
        <f t="shared" si="3"/>
        <v>243.70450256704018</v>
      </c>
      <c r="J23" s="60">
        <f t="shared" si="7"/>
        <v>0</v>
      </c>
      <c r="K23" s="73">
        <f t="shared" si="4"/>
        <v>1</v>
      </c>
      <c r="L23" s="35" cm="1">
        <f t="array" ref="L23">IFERROR(INDEX(Rates!$G$5:$G$117,MATCH(1, (Rates!$C$5:$C$117&lt;=$C23)*(Rates!$D$5:$D$117&gt;=$B23), 0)), 0)</f>
        <v>1.4657534246575345E-2</v>
      </c>
      <c r="M23" s="36" t="str">
        <f t="shared" si="11"/>
        <v>June 15</v>
      </c>
      <c r="N23" s="37">
        <f t="shared" si="8"/>
        <v>0</v>
      </c>
      <c r="O23" s="38">
        <f>IF(IF($C$8="Yes",IF(N23&gt;1,COUNTIF($N$17:N23,$G$12),0)-1,IF(N23&gt;1,COUNTIF($N$17:N23,$G$12),0))&lt;0,0,IF($C$8="Yes",IF(N23&gt;1,COUNTIF($N$17:N23,$G$12),0)-1,IF(N23&gt;1,COUNTIF($N$17:N23,$G$12),0)))</f>
        <v>0</v>
      </c>
      <c r="P23" s="39">
        <f>IFERROR(INDEX(Rates!$P$4:$U$13,MATCH($C$7,Rates!$O$4:$O$13,0),MATCH(O23,Rates!$P$2:$U$2,0)),0)</f>
        <v>0</v>
      </c>
      <c r="Q23" s="50">
        <f t="shared" si="9"/>
        <v>0</v>
      </c>
      <c r="R23" s="50"/>
      <c r="S23" s="32"/>
      <c r="T23" s="59">
        <v>46174</v>
      </c>
      <c r="U23" s="57">
        <v>46188</v>
      </c>
      <c r="V23" s="51"/>
      <c r="W23" s="110">
        <f t="shared" si="10"/>
        <v>2026</v>
      </c>
      <c r="X23" s="111">
        <f t="shared" si="5"/>
        <v>0</v>
      </c>
      <c r="AA23" s="173"/>
    </row>
    <row r="24" spans="2:27">
      <c r="B24" s="123">
        <f t="shared" si="0"/>
        <v>46189</v>
      </c>
      <c r="C24" s="123">
        <f t="shared" si="1"/>
        <v>46203</v>
      </c>
      <c r="D24" s="53">
        <f>IFERROR(IF(ROUND(D23,0)&lt;=0,"-",IFERROR(IF(U24="-","-",IFERROR(IF(T24=EOMONTH(T24,-1)+1,SUMIFS($I$17:I23,T$17:T23,"&lt;="&amp;U23,T$17:T23,"&gt;"&amp;EOMONTH(U23,-1)),-E23-F23),0))+D23,0))+X23-X22,0)</f>
        <v>110843.792444822</v>
      </c>
      <c r="E24" s="53">
        <f>ROUND(($C$5-SUM($E$16:E23))*P24,2)</f>
        <v>0</v>
      </c>
      <c r="F24" s="53">
        <f>IF(Q24=1,SUM($I$16:$I24)-SUM($F$15:F22),IF((IF(E24&gt;0,SUM($I$16:$I24),0))-SUM($F$15:F22)&lt;0,0,(IF(E24&gt;0,SUM($I$16:$I24),0))-SUM($F$15:F22)))</f>
        <v>0</v>
      </c>
      <c r="G24" s="53">
        <f t="shared" si="6"/>
        <v>0</v>
      </c>
      <c r="H24" s="68">
        <f t="shared" si="2"/>
        <v>15</v>
      </c>
      <c r="I24" s="19">
        <f t="shared" si="3"/>
        <v>243.70450256704018</v>
      </c>
      <c r="J24" s="60">
        <f t="shared" si="7"/>
        <v>0</v>
      </c>
      <c r="K24" s="73">
        <f t="shared" si="4"/>
        <v>1</v>
      </c>
      <c r="L24" s="35" cm="1">
        <f t="array" ref="L24">IFERROR(INDEX(Rates!$G$5:$G$117,MATCH(1, (Rates!$C$5:$C$117&lt;=$C24)*(Rates!$D$5:$D$117&gt;=$B24), 0)), 0)</f>
        <v>1.4657534246575345E-2</v>
      </c>
      <c r="M24" s="36" t="str">
        <f t="shared" si="11"/>
        <v>June 30</v>
      </c>
      <c r="N24" s="37">
        <f t="shared" si="8"/>
        <v>0</v>
      </c>
      <c r="O24" s="38">
        <f>IF(IF($C$8="Yes",IF(N24&gt;1,COUNTIF($N$17:N24,$G$12),0)-1,IF(N24&gt;1,COUNTIF($N$17:N24,$G$12),0))&lt;0,0,IF($C$8="Yes",IF(N24&gt;1,COUNTIF($N$17:N24,$G$12),0)-1,IF(N24&gt;1,COUNTIF($N$17:N24,$G$12),0)))</f>
        <v>0</v>
      </c>
      <c r="P24" s="39">
        <f>IFERROR(INDEX(Rates!$P$4:$U$13,MATCH($C$7,Rates!$O$4:$O$13,0),MATCH(O24,Rates!$P$2:$U$2,0)),0)</f>
        <v>0</v>
      </c>
      <c r="Q24" s="50">
        <f t="shared" si="9"/>
        <v>0</v>
      </c>
      <c r="R24" s="50"/>
      <c r="S24" s="32"/>
      <c r="T24" s="59">
        <v>46189</v>
      </c>
      <c r="U24" s="57">
        <v>46203</v>
      </c>
      <c r="V24" s="51"/>
      <c r="W24" s="110">
        <f t="shared" si="10"/>
        <v>2026</v>
      </c>
      <c r="X24" s="111">
        <f t="shared" si="5"/>
        <v>0</v>
      </c>
      <c r="AA24" s="173"/>
    </row>
    <row r="25" spans="2:27">
      <c r="B25" s="123">
        <f t="shared" si="0"/>
        <v>46204</v>
      </c>
      <c r="C25" s="123">
        <f t="shared" si="1"/>
        <v>46234</v>
      </c>
      <c r="D25" s="53">
        <f>IFERROR(IF(ROUND(D24,0)&lt;=0,"-",IFERROR(IF(U25="-","-",IFERROR(IF(T25=EOMONTH(T25,-1)+1,SUMIFS($I$17:I24,T$17:T24,"&lt;="&amp;U24,T$17:T24,"&gt;"&amp;EOMONTH(U24,-1)),-E24-F24),0))+D24,0))+X24-X23,0)</f>
        <v>111331.20144995608</v>
      </c>
      <c r="E25" s="53">
        <f>ROUND(($C$5-SUM($E$16:E24))*P25,2)</f>
        <v>0</v>
      </c>
      <c r="F25" s="53">
        <f>IF(Q25=1,SUM($I$16:$I25)-SUM($F$15:F23),IF((IF(E25&gt;0,SUM($I$16:$I25),0))-SUM($F$15:F23)&lt;0,0,(IF(E25&gt;0,SUM($I$16:$I25),0))-SUM($F$15:F23)))</f>
        <v>0</v>
      </c>
      <c r="G25" s="53">
        <f t="shared" si="6"/>
        <v>0</v>
      </c>
      <c r="H25" s="68">
        <f t="shared" si="2"/>
        <v>31</v>
      </c>
      <c r="I25" s="19">
        <f t="shared" si="3"/>
        <v>505.87067836918408</v>
      </c>
      <c r="J25" s="60">
        <f t="shared" si="7"/>
        <v>0</v>
      </c>
      <c r="K25" s="73">
        <f t="shared" si="4"/>
        <v>1</v>
      </c>
      <c r="L25" s="35" cm="1">
        <f t="array" ref="L25">IFERROR(INDEX(Rates!$G$5:$G$117,MATCH(1, (Rates!$C$5:$C$117&lt;=$C25)*(Rates!$D$5:$D$117&gt;=$B25), 0)), 0)</f>
        <v>1.4657534246575345E-2</v>
      </c>
      <c r="M25" s="36" t="str">
        <f t="shared" si="11"/>
        <v>July 31</v>
      </c>
      <c r="N25" s="37">
        <f t="shared" si="8"/>
        <v>0</v>
      </c>
      <c r="O25" s="38">
        <f>IF(IF($C$8="Yes",IF(N25&gt;1,COUNTIF($N$17:N25,$G$12),0)-1,IF(N25&gt;1,COUNTIF($N$17:N25,$G$12),0))&lt;0,0,IF($C$8="Yes",IF(N25&gt;1,COUNTIF($N$17:N25,$G$12),0)-1,IF(N25&gt;1,COUNTIF($N$17:N25,$G$12),0)))</f>
        <v>0</v>
      </c>
      <c r="P25" s="39">
        <f>IFERROR(INDEX(Rates!$P$4:$U$13,MATCH($C$7,Rates!$O$4:$O$13,0),MATCH(O25,Rates!$P$2:$U$2,0)),0)</f>
        <v>0</v>
      </c>
      <c r="Q25" s="50">
        <f t="shared" si="9"/>
        <v>0</v>
      </c>
      <c r="R25" s="50"/>
      <c r="S25" s="32"/>
      <c r="T25" s="59">
        <v>46204</v>
      </c>
      <c r="U25" s="57">
        <v>46234</v>
      </c>
      <c r="V25" s="51"/>
      <c r="W25" s="110">
        <f t="shared" si="10"/>
        <v>2026</v>
      </c>
      <c r="X25" s="111">
        <f t="shared" si="5"/>
        <v>0</v>
      </c>
      <c r="AA25" s="173"/>
    </row>
    <row r="26" spans="2:27">
      <c r="B26" s="123">
        <f t="shared" si="0"/>
        <v>46235</v>
      </c>
      <c r="C26" s="123">
        <f t="shared" si="1"/>
        <v>46265</v>
      </c>
      <c r="D26" s="53">
        <f>IFERROR(IF(ROUND(D25,0)&lt;=0,"-",IFERROR(IF(U26="-","-",IFERROR(IF(T26=EOMONTH(T26,-1)+1,SUMIFS($I$17:I25,T$17:T25,"&lt;="&amp;U25,T$17:T25,"&gt;"&amp;EOMONTH(U25,-1)),-E25-F25),0))+D25,0))+X25-X24,0)</f>
        <v>111837.07212832526</v>
      </c>
      <c r="E26" s="53">
        <f>ROUND(($C$5-SUM($E$16:E25))*P26,2)</f>
        <v>0</v>
      </c>
      <c r="F26" s="53">
        <f>IF(Q26=1,SUM($I$16:$I26)-SUM($F$15:F24),IF((IF(E26&gt;0,SUM($I$16:$I26),0))-SUM($F$15:F24)&lt;0,0,(IF(E26&gt;0,SUM($I$16:$I26),0))-SUM($F$15:F24)))</f>
        <v>0</v>
      </c>
      <c r="G26" s="53">
        <f t="shared" si="6"/>
        <v>0</v>
      </c>
      <c r="H26" s="68">
        <f t="shared" si="2"/>
        <v>31</v>
      </c>
      <c r="I26" s="19">
        <f t="shared" si="3"/>
        <v>508.16927157486987</v>
      </c>
      <c r="J26" s="60">
        <f t="shared" si="7"/>
        <v>0</v>
      </c>
      <c r="K26" s="73">
        <f t="shared" si="4"/>
        <v>1</v>
      </c>
      <c r="L26" s="35" cm="1">
        <f t="array" ref="L26">IFERROR(INDEX(Rates!$G$5:$G$117,MATCH(1, (Rates!$C$5:$C$117&lt;=$C26)*(Rates!$D$5:$D$117&gt;=$B26), 0)), 0)</f>
        <v>1.4657534246575345E-2</v>
      </c>
      <c r="M26" s="36" t="str">
        <f t="shared" si="11"/>
        <v>August 31</v>
      </c>
      <c r="N26" s="37">
        <f t="shared" si="8"/>
        <v>0</v>
      </c>
      <c r="O26" s="38">
        <f>IF(IF($C$8="Yes",IF(N26&gt;1,COUNTIF($N$17:N26,$G$12),0)-1,IF(N26&gt;1,COUNTIF($N$17:N26,$G$12),0))&lt;0,0,IF($C$8="Yes",IF(N26&gt;1,COUNTIF($N$17:N26,$G$12),0)-1,IF(N26&gt;1,COUNTIF($N$17:N26,$G$12),0)))</f>
        <v>0</v>
      </c>
      <c r="P26" s="39">
        <f>IFERROR(INDEX(Rates!$P$4:$U$13,MATCH($C$7,Rates!$O$4:$O$13,0),MATCH(O26,Rates!$P$2:$U$2,0)),0)</f>
        <v>0</v>
      </c>
      <c r="Q26" s="50">
        <f t="shared" si="9"/>
        <v>0</v>
      </c>
      <c r="R26" s="50"/>
      <c r="S26" s="32"/>
      <c r="T26" s="59">
        <v>46235</v>
      </c>
      <c r="U26" s="57">
        <v>46265</v>
      </c>
      <c r="V26" s="51"/>
      <c r="W26" s="110">
        <f t="shared" si="10"/>
        <v>2026</v>
      </c>
      <c r="X26" s="111">
        <f t="shared" si="5"/>
        <v>0</v>
      </c>
      <c r="AA26" s="173"/>
    </row>
    <row r="27" spans="2:27">
      <c r="B27" s="123">
        <f t="shared" si="0"/>
        <v>46266</v>
      </c>
      <c r="C27" s="123">
        <f t="shared" si="1"/>
        <v>46295</v>
      </c>
      <c r="D27" s="53">
        <f>IFERROR(IF(ROUND(D26,0)&lt;=0,"-",IFERROR(IF(U27="-","-",IFERROR(IF(T27=EOMONTH(T27,-1)+1,SUMIFS($I$17:I26,T$17:T26,"&lt;="&amp;U26,T$17:T26,"&gt;"&amp;EOMONTH(U26,-1)),-E26-F26),0))+D26,0))+X26-X25,0)</f>
        <v>112345.24139990013</v>
      </c>
      <c r="E27" s="53">
        <f>ROUND(($C$5-SUM($E$16:E26))*P27,2)</f>
        <v>0</v>
      </c>
      <c r="F27" s="53">
        <f>IF(Q27=1,SUM($I$16:$I27)-SUM($F$15:F25),IF((IF(E27&gt;0,SUM($I$16:$I27),0))-SUM($F$15:F25)&lt;0,0,(IF(E27&gt;0,SUM($I$16:$I27),0))-SUM($F$15:F25)))</f>
        <v>0</v>
      </c>
      <c r="G27" s="53">
        <f t="shared" si="6"/>
        <v>0</v>
      </c>
      <c r="H27" s="68">
        <f t="shared" si="2"/>
        <v>30</v>
      </c>
      <c r="I27" s="19">
        <f t="shared" si="3"/>
        <v>494.01126697764312</v>
      </c>
      <c r="J27" s="60">
        <f t="shared" si="7"/>
        <v>0</v>
      </c>
      <c r="K27" s="73">
        <f t="shared" si="4"/>
        <v>1</v>
      </c>
      <c r="L27" s="35" cm="1">
        <f t="array" ref="L27">IFERROR(INDEX(Rates!$G$5:$G$117,MATCH(1, (Rates!$C$5:$C$117&lt;=$C27)*(Rates!$D$5:$D$117&gt;=$B27), 0)), 0)</f>
        <v>1.4657534246575345E-2</v>
      </c>
      <c r="M27" s="36" t="str">
        <f t="shared" si="11"/>
        <v>September 30</v>
      </c>
      <c r="N27" s="37">
        <f t="shared" si="8"/>
        <v>0</v>
      </c>
      <c r="O27" s="38">
        <f>IF(IF($C$8="Yes",IF(N27&gt;1,COUNTIF($N$17:N27,$G$12),0)-1,IF(N27&gt;1,COUNTIF($N$17:N27,$G$12),0))&lt;0,0,IF($C$8="Yes",IF(N27&gt;1,COUNTIF($N$17:N27,$G$12),0)-1,IF(N27&gt;1,COUNTIF($N$17:N27,$G$12),0)))</f>
        <v>0</v>
      </c>
      <c r="P27" s="39">
        <f>IFERROR(INDEX(Rates!$P$4:$U$13,MATCH($C$7,Rates!$O$4:$O$13,0),MATCH(O27,Rates!$P$2:$U$2,0)),0)</f>
        <v>0</v>
      </c>
      <c r="Q27" s="50">
        <f t="shared" si="9"/>
        <v>0</v>
      </c>
      <c r="R27" s="50"/>
      <c r="S27" s="32"/>
      <c r="T27" s="59">
        <v>46266</v>
      </c>
      <c r="U27" s="57">
        <v>46295</v>
      </c>
      <c r="V27" s="51"/>
      <c r="W27" s="110">
        <f t="shared" si="10"/>
        <v>2026</v>
      </c>
      <c r="X27" s="111">
        <f t="shared" si="5"/>
        <v>0</v>
      </c>
      <c r="AA27" s="173"/>
    </row>
    <row r="28" spans="2:27">
      <c r="B28" s="123">
        <f t="shared" si="0"/>
        <v>46296</v>
      </c>
      <c r="C28" s="123">
        <f t="shared" si="1"/>
        <v>46326</v>
      </c>
      <c r="D28" s="53">
        <f>IFERROR(IF(ROUND(D27,0)&lt;=0,"-",IFERROR(IF(U28="-","-",IFERROR(IF(T28=EOMONTH(T28,-1)+1,SUMIFS($I$17:I27,T$17:T27,"&lt;="&amp;U27,T$17:T27,"&gt;"&amp;EOMONTH(U27,-1)),-E27-F27),0))+D27,0))+X27-X26,0)</f>
        <v>112839.25266687777</v>
      </c>
      <c r="E28" s="53">
        <f>ROUND(($C$5-SUM($E$16:E27))*P28,2)</f>
        <v>0</v>
      </c>
      <c r="F28" s="53">
        <f>IF(Q28=1,SUM($I$16:$I28)-SUM($F$15:F26),IF((IF(E28&gt;0,SUM($I$16:$I28),0))-SUM($F$15:F26)&lt;0,0,(IF(E28&gt;0,SUM($I$16:$I28),0))-SUM($F$15:F26)))</f>
        <v>0</v>
      </c>
      <c r="G28" s="53">
        <f t="shared" si="6"/>
        <v>0</v>
      </c>
      <c r="H28" s="68">
        <f t="shared" si="2"/>
        <v>31</v>
      </c>
      <c r="I28" s="19">
        <f t="shared" si="3"/>
        <v>512.72301520004612</v>
      </c>
      <c r="J28" s="60">
        <f t="shared" si="7"/>
        <v>0</v>
      </c>
      <c r="K28" s="73">
        <f t="shared" si="4"/>
        <v>1</v>
      </c>
      <c r="L28" s="35" cm="1">
        <f t="array" ref="L28">IFERROR(INDEX(Rates!$G$5:$G$117,MATCH(1, (Rates!$C$5:$C$117&lt;=$C28)*(Rates!$D$5:$D$117&gt;=$B28), 0)), 0)</f>
        <v>1.4657534246575345E-2</v>
      </c>
      <c r="M28" s="36" t="str">
        <f t="shared" si="11"/>
        <v>October 31</v>
      </c>
      <c r="N28" s="37">
        <f t="shared" si="8"/>
        <v>0</v>
      </c>
      <c r="O28" s="38">
        <f>IF(IF($C$8="Yes",IF(N28&gt;1,COUNTIF($N$17:N28,$G$12),0)-1,IF(N28&gt;1,COUNTIF($N$17:N28,$G$12),0))&lt;0,0,IF($C$8="Yes",IF(N28&gt;1,COUNTIF($N$17:N28,$G$12),0)-1,IF(N28&gt;1,COUNTIF($N$17:N28,$G$12),0)))</f>
        <v>0</v>
      </c>
      <c r="P28" s="39">
        <f>IFERROR(INDEX(Rates!$P$4:$U$13,MATCH($C$7,Rates!$O$4:$O$13,0),MATCH(O28,Rates!$P$2:$U$2,0)),0)</f>
        <v>0</v>
      </c>
      <c r="Q28" s="50">
        <f t="shared" si="9"/>
        <v>0</v>
      </c>
      <c r="R28" s="50"/>
      <c r="S28" s="39"/>
      <c r="T28" s="59">
        <v>46296</v>
      </c>
      <c r="U28" s="57">
        <v>46326</v>
      </c>
      <c r="V28" s="51"/>
      <c r="W28" s="110">
        <f t="shared" si="10"/>
        <v>2026</v>
      </c>
      <c r="X28" s="111">
        <f t="shared" si="5"/>
        <v>0</v>
      </c>
      <c r="AA28" s="173"/>
    </row>
    <row r="29" spans="2:27">
      <c r="B29" s="123">
        <f t="shared" si="0"/>
        <v>46327</v>
      </c>
      <c r="C29" s="123">
        <f t="shared" si="1"/>
        <v>46356</v>
      </c>
      <c r="D29" s="53">
        <f>IFERROR(IF(ROUND(D28,0)&lt;=0,"-",IFERROR(IF(U29="-","-",IFERROR(IF(T29=EOMONTH(T29,-1)+1,SUMIFS($I$17:I28,T$17:T28,"&lt;="&amp;U28,T$17:T28,"&gt;"&amp;EOMONTH(U28,-1)),-E28-F28),0))+D28,0))+X28-X27,0)</f>
        <v>113351.97568207781</v>
      </c>
      <c r="E29" s="53">
        <f>ROUND(($C$5-SUM($E$16:E28))*P29,2)</f>
        <v>0</v>
      </c>
      <c r="F29" s="53">
        <f>IF(Q29=1,SUM($I$16:$I29)-SUM($F$15:F27),IF((IF(E29&gt;0,SUM($I$16:$I29),0))-SUM($F$15:F27)&lt;0,0,(IF(E29&gt;0,SUM($I$16:$I29),0))-SUM($F$15:F27)))</f>
        <v>0</v>
      </c>
      <c r="G29" s="53">
        <f t="shared" si="6"/>
        <v>0</v>
      </c>
      <c r="H29" s="68">
        <f t="shared" si="2"/>
        <v>30</v>
      </c>
      <c r="I29" s="19">
        <f t="shared" si="3"/>
        <v>498.43813964310937</v>
      </c>
      <c r="J29" s="60">
        <f t="shared" si="7"/>
        <v>0</v>
      </c>
      <c r="K29" s="73">
        <f t="shared" si="4"/>
        <v>1</v>
      </c>
      <c r="L29" s="35" cm="1">
        <f t="array" ref="L29">IFERROR(INDEX(Rates!$G$5:$G$117,MATCH(1, (Rates!$C$5:$C$117&lt;=$C29)*(Rates!$D$5:$D$117&gt;=$B29), 0)), 0)</f>
        <v>1.4657534246575345E-2</v>
      </c>
      <c r="M29" s="36" t="str">
        <f t="shared" si="11"/>
        <v>November 30</v>
      </c>
      <c r="N29" s="37">
        <f t="shared" si="8"/>
        <v>0</v>
      </c>
      <c r="O29" s="38">
        <f>IF(IF($C$8="Yes",IF(N29&gt;1,COUNTIF($N$17:N29,$G$12),0)-1,IF(N29&gt;1,COUNTIF($N$17:N29,$G$12),0))&lt;0,0,IF($C$8="Yes",IF(N29&gt;1,COUNTIF($N$17:N29,$G$12),0)-1,IF(N29&gt;1,COUNTIF($N$17:N29,$G$12),0)))</f>
        <v>0</v>
      </c>
      <c r="P29" s="39">
        <f>IFERROR(INDEX(Rates!$P$4:$U$13,MATCH($C$7,Rates!$O$4:$O$13,0),MATCH(O29,Rates!$P$2:$U$2,0)),0)</f>
        <v>0</v>
      </c>
      <c r="Q29" s="50">
        <f t="shared" si="9"/>
        <v>0</v>
      </c>
      <c r="R29" s="50"/>
      <c r="S29" s="32"/>
      <c r="T29" s="59">
        <v>46327</v>
      </c>
      <c r="U29" s="57">
        <v>46356</v>
      </c>
      <c r="V29" s="51"/>
      <c r="W29" s="110">
        <f t="shared" si="10"/>
        <v>2026</v>
      </c>
      <c r="X29" s="111">
        <f t="shared" si="5"/>
        <v>0</v>
      </c>
      <c r="AA29" s="173"/>
    </row>
    <row r="30" spans="2:27">
      <c r="B30" s="123">
        <f t="shared" si="0"/>
        <v>46357</v>
      </c>
      <c r="C30" s="123">
        <f t="shared" si="1"/>
        <v>46371</v>
      </c>
      <c r="D30" s="53">
        <f>IFERROR(IF(ROUND(D29,0)&lt;=0,"-",IFERROR(IF(U30="-","-",IFERROR(IF(T30=EOMONTH(T30,-1)+1,SUMIFS($I$17:I29,T$17:T29,"&lt;="&amp;U29,T$17:T29,"&gt;"&amp;EOMONTH(U29,-1)),-E29-F29),0))+D29,0))+X29-X28,0)</f>
        <v>113850.41382172093</v>
      </c>
      <c r="E30" s="53">
        <f>ROUND(($C$5-SUM($E$16:E29))*P30,2)</f>
        <v>21640.14</v>
      </c>
      <c r="F30" s="53">
        <f>IF(Q30=1,SUM($I$16:$I30)-SUM($F$15:F28),IF((IF(E30&gt;0,SUM($I$16:$I30),0))-SUM($F$15:F28)&lt;0,0,(IF(E30&gt;0,SUM($I$16:$I30),0))-SUM($F$15:F28)))</f>
        <v>5900.0087726577167</v>
      </c>
      <c r="G30" s="53">
        <f t="shared" si="6"/>
        <v>27540.148772657718</v>
      </c>
      <c r="H30" s="68">
        <f t="shared" si="2"/>
        <v>15</v>
      </c>
      <c r="I30" s="19">
        <f t="shared" si="3"/>
        <v>250.31495093679743</v>
      </c>
      <c r="J30" s="60">
        <f t="shared" si="7"/>
        <v>0.2</v>
      </c>
      <c r="K30" s="73">
        <f t="shared" si="4"/>
        <v>1</v>
      </c>
      <c r="L30" s="35" cm="1">
        <f t="array" ref="L30">IFERROR(INDEX(Rates!$G$5:$G$117,MATCH(1, (Rates!$C$5:$C$117&lt;=$C30)*(Rates!$D$5:$D$117&gt;=$B30), 0)), 0)</f>
        <v>1.4657534246575345E-2</v>
      </c>
      <c r="M30" s="36" t="str">
        <f t="shared" si="11"/>
        <v>December 15</v>
      </c>
      <c r="N30" s="37" t="str">
        <f t="shared" si="8"/>
        <v>December 15</v>
      </c>
      <c r="O30" s="38">
        <f>IF(IF($C$8="Yes",IF(N30&gt;1,COUNTIF($N$17:N30,$G$12),0)-1,IF(N30&gt;1,COUNTIF($N$17:N30,$G$12),0))&lt;0,0,IF($C$8="Yes",IF(N30&gt;1,COUNTIF($N$17:N30,$G$12),0)-1,IF(N30&gt;1,COUNTIF($N$17:N30,$G$12),0)))</f>
        <v>1</v>
      </c>
      <c r="P30" s="39">
        <f>IFERROR(INDEX(Rates!$P$4:$U$13,MATCH($C$7,Rates!$O$4:$O$13,0),MATCH(O30,Rates!$P$2:$U$2,0)),0)</f>
        <v>0.2</v>
      </c>
      <c r="Q30" s="50">
        <f t="shared" si="9"/>
        <v>0</v>
      </c>
      <c r="R30" s="50"/>
      <c r="S30" s="32"/>
      <c r="T30" s="59">
        <v>46357</v>
      </c>
      <c r="U30" s="57">
        <v>46371</v>
      </c>
      <c r="V30" s="51"/>
      <c r="W30" s="110">
        <f t="shared" si="10"/>
        <v>2026</v>
      </c>
      <c r="X30" s="111">
        <f t="shared" si="5"/>
        <v>250.31495093679743</v>
      </c>
    </row>
    <row r="31" spans="2:27">
      <c r="B31" s="123">
        <f t="shared" si="0"/>
        <v>46372</v>
      </c>
      <c r="C31" s="123">
        <f t="shared" si="1"/>
        <v>46387</v>
      </c>
      <c r="D31" s="53">
        <f>IFERROR(IF(ROUND(D30,0)&lt;=0,"-",IFERROR(IF(U31="-","-",IFERROR(IF(T31=EOMONTH(T31,-1)+1,SUMIFS($I$17:I30,T$17:T30,"&lt;="&amp;U30,T$17:T30,"&gt;"&amp;EOMONTH(U30,-1)),-E30-F30),0))+D30,0))+X30-X29,0)</f>
        <v>86560.58</v>
      </c>
      <c r="E31" s="53">
        <f>ROUND(($C$5-SUM($E$16:E30))*P31,2)</f>
        <v>0</v>
      </c>
      <c r="F31" s="53">
        <f>IF(Q31=1,SUM($I$16:$I31)-SUM($F$15:F29),IF((IF(E31&gt;0,SUM($I$16:$I31),0))-SUM($F$15:F29)&lt;0,0,(IF(E31&gt;0,SUM($I$16:$I31),0))-SUM($F$15:F29)))</f>
        <v>0</v>
      </c>
      <c r="G31" s="53">
        <f t="shared" si="6"/>
        <v>0</v>
      </c>
      <c r="H31" s="68">
        <f t="shared" si="2"/>
        <v>16</v>
      </c>
      <c r="I31" s="19">
        <f t="shared" si="3"/>
        <v>203.00234652054797</v>
      </c>
      <c r="J31" s="60">
        <f t="shared" si="7"/>
        <v>0</v>
      </c>
      <c r="K31" s="73">
        <f t="shared" si="4"/>
        <v>1</v>
      </c>
      <c r="L31" s="35" cm="1">
        <f t="array" ref="L31">IFERROR(INDEX(Rates!$G$5:$G$117,MATCH(1, (Rates!$C$5:$C$117&lt;=$C31)*(Rates!$D$5:$D$117&gt;=$B31), 0)), 0)</f>
        <v>1.4657534246575345E-2</v>
      </c>
      <c r="M31" s="36" t="str">
        <f t="shared" si="11"/>
        <v>December 31</v>
      </c>
      <c r="N31" s="37">
        <f t="shared" si="8"/>
        <v>0</v>
      </c>
      <c r="O31" s="38">
        <f>IF(IF($C$8="Yes",IF(N31&gt;1,COUNTIF($N$17:N31,$G$12),0)-1,IF(N31&gt;1,COUNTIF($N$17:N31,$G$12),0))&lt;0,0,IF($C$8="Yes",IF(N31&gt;1,COUNTIF($N$17:N31,$G$12),0)-1,IF(N31&gt;1,COUNTIF($N$17:N31,$G$12),0)))</f>
        <v>0</v>
      </c>
      <c r="P31" s="39">
        <f>IFERROR(INDEX(Rates!$P$4:$U$13,MATCH($C$7,Rates!$O$4:$O$13,0),MATCH(O31,Rates!$P$2:$U$2,0)),0)</f>
        <v>0</v>
      </c>
      <c r="Q31" s="50">
        <f t="shared" si="9"/>
        <v>0</v>
      </c>
      <c r="R31" s="50"/>
      <c r="S31" s="32"/>
      <c r="T31" s="59">
        <v>46372</v>
      </c>
      <c r="U31" s="57">
        <v>46387</v>
      </c>
      <c r="V31" s="51"/>
      <c r="W31" s="110">
        <f t="shared" si="10"/>
        <v>2026</v>
      </c>
      <c r="X31" s="111">
        <f t="shared" si="5"/>
        <v>0</v>
      </c>
    </row>
    <row r="32" spans="2:27">
      <c r="B32" s="123">
        <f t="shared" si="0"/>
        <v>46388</v>
      </c>
      <c r="C32" s="123">
        <f t="shared" si="1"/>
        <v>46418</v>
      </c>
      <c r="D32" s="53">
        <f>IFERROR(IF(ROUND(D31,0)&lt;=0,"-",IFERROR(IF(U32="-","-",IFERROR(IF(T32=EOMONTH(T32,-1)+1,SUMIFS($I$17:I31,T$17:T31,"&lt;="&amp;U31,T$17:T31,"&gt;"&amp;EOMONTH(U31,-1)),-E31-F31),0))+D31,0))+X31-X30,0)</f>
        <v>86763.582346520547</v>
      </c>
      <c r="E32" s="53">
        <f>ROUND(($C$5-SUM($E$16:E31))*P32,2)</f>
        <v>0</v>
      </c>
      <c r="F32" s="53">
        <f>IF(Q32=1,SUM($I$16:$I32)-SUM($F$15:F30),IF((IF(E32&gt;0,SUM($I$16:$I32),0))-SUM($F$15:F30)&lt;0,0,(IF(E32&gt;0,SUM($I$16:$I32),0))-SUM($F$15:F30)))</f>
        <v>0</v>
      </c>
      <c r="G32" s="53">
        <f t="shared" si="6"/>
        <v>0</v>
      </c>
      <c r="H32" s="68">
        <f t="shared" si="2"/>
        <v>31</v>
      </c>
      <c r="I32" s="19">
        <f t="shared" si="3"/>
        <v>394.23945567590238</v>
      </c>
      <c r="J32" s="60">
        <f t="shared" si="7"/>
        <v>0</v>
      </c>
      <c r="K32" s="73">
        <f t="shared" si="4"/>
        <v>1</v>
      </c>
      <c r="L32" s="35" cm="1">
        <f t="array" ref="L32">IFERROR(INDEX(Rates!$G$5:$G$117,MATCH(1, (Rates!$C$5:$C$117&lt;=$C32)*(Rates!$D$5:$D$117&gt;=$B32), 0)), 0)</f>
        <v>1.4657534246575345E-2</v>
      </c>
      <c r="M32" s="36" t="str">
        <f t="shared" si="11"/>
        <v>January 31</v>
      </c>
      <c r="N32" s="37">
        <f t="shared" si="8"/>
        <v>0</v>
      </c>
      <c r="O32" s="38">
        <f>IF(IF($C$8="Yes",IF(N32&gt;1,COUNTIF($N$17:N32,$G$12),0)-1,IF(N32&gt;1,COUNTIF($N$17:N32,$G$12),0))&lt;0,0,IF($C$8="Yes",IF(N32&gt;1,COUNTIF($N$17:N32,$G$12),0)-1,IF(N32&gt;1,COUNTIF($N$17:N32,$G$12),0)))</f>
        <v>0</v>
      </c>
      <c r="P32" s="39">
        <f>IFERROR(INDEX(Rates!$P$4:$U$13,MATCH($C$7,Rates!$O$4:$O$13,0),MATCH(O32,Rates!$P$2:$U$2,0)),0)</f>
        <v>0</v>
      </c>
      <c r="Q32" s="50">
        <f t="shared" si="9"/>
        <v>0</v>
      </c>
      <c r="R32" s="50"/>
      <c r="S32" s="32"/>
      <c r="T32" s="59">
        <v>46388</v>
      </c>
      <c r="U32" s="57">
        <v>46418</v>
      </c>
      <c r="V32" s="51"/>
      <c r="W32" s="110">
        <f t="shared" si="10"/>
        <v>2027</v>
      </c>
      <c r="X32" s="111">
        <f t="shared" si="5"/>
        <v>0</v>
      </c>
    </row>
    <row r="33" spans="2:24">
      <c r="B33" s="123">
        <f t="shared" si="0"/>
        <v>46419</v>
      </c>
      <c r="C33" s="123">
        <f t="shared" si="1"/>
        <v>46446</v>
      </c>
      <c r="D33" s="53">
        <f>IFERROR(IF(ROUND(D32,0)&lt;=0,"-",IFERROR(IF(U33="-","-",IFERROR(IF(T33=EOMONTH(T33,-1)+1,SUMIFS($I$17:I32,T$17:T32,"&lt;="&amp;U32,T$17:T32,"&gt;"&amp;EOMONTH(U32,-1)),-E32-F32),0))+D32,0))+X32-X31,0)</f>
        <v>87157.821802196442</v>
      </c>
      <c r="E33" s="53">
        <f>ROUND(($C$5-SUM($E$16:E32))*P33,2)</f>
        <v>0</v>
      </c>
      <c r="F33" s="53">
        <f>IF(Q33=1,SUM($I$16:$I33)-SUM($F$15:F31),IF((IF(E33&gt;0,SUM($I$16:$I33),0))-SUM($F$15:F31)&lt;0,0,(IF(E33&gt;0,SUM($I$16:$I33),0))-SUM($F$15:F31)))</f>
        <v>0</v>
      </c>
      <c r="G33" s="53">
        <f t="shared" si="6"/>
        <v>0</v>
      </c>
      <c r="H33" s="68">
        <f t="shared" si="2"/>
        <v>28</v>
      </c>
      <c r="I33" s="19">
        <f t="shared" si="3"/>
        <v>357.70525221832958</v>
      </c>
      <c r="J33" s="60">
        <f t="shared" si="7"/>
        <v>0</v>
      </c>
      <c r="K33" s="73">
        <f t="shared" si="4"/>
        <v>1</v>
      </c>
      <c r="L33" s="35" cm="1">
        <f t="array" ref="L33">IFERROR(INDEX(Rates!$G$5:$G$117,MATCH(1, (Rates!$C$5:$C$117&lt;=$C33)*(Rates!$D$5:$D$117&gt;=$B33), 0)), 0)</f>
        <v>1.4657534246575345E-2</v>
      </c>
      <c r="M33" s="36" t="str">
        <f t="shared" si="11"/>
        <v>February 28</v>
      </c>
      <c r="N33" s="37">
        <f t="shared" si="8"/>
        <v>0</v>
      </c>
      <c r="O33" s="38">
        <f>IF(IF($C$8="Yes",IF(N33&gt;1,COUNTIF($N$17:N33,$G$12),0)-1,IF(N33&gt;1,COUNTIF($N$17:N33,$G$12),0))&lt;0,0,IF($C$8="Yes",IF(N33&gt;1,COUNTIF($N$17:N33,$G$12),0)-1,IF(N33&gt;1,COUNTIF($N$17:N33,$G$12),0)))</f>
        <v>0</v>
      </c>
      <c r="P33" s="39">
        <f>IFERROR(INDEX(Rates!$P$4:$U$13,MATCH($C$7,Rates!$O$4:$O$13,0),MATCH(O33,Rates!$P$2:$U$2,0)),0)</f>
        <v>0</v>
      </c>
      <c r="Q33" s="50">
        <f t="shared" si="9"/>
        <v>0</v>
      </c>
      <c r="R33" s="50"/>
      <c r="S33" s="50"/>
      <c r="T33" s="59">
        <v>46419</v>
      </c>
      <c r="U33" s="57">
        <v>46446</v>
      </c>
      <c r="V33" s="51"/>
      <c r="W33" s="110">
        <f t="shared" si="10"/>
        <v>2027</v>
      </c>
      <c r="X33" s="111">
        <f t="shared" si="5"/>
        <v>0</v>
      </c>
    </row>
    <row r="34" spans="2:24">
      <c r="B34" s="123">
        <f t="shared" si="0"/>
        <v>46447</v>
      </c>
      <c r="C34" s="123">
        <f t="shared" si="1"/>
        <v>46477</v>
      </c>
      <c r="D34" s="53">
        <f>IFERROR(IF(ROUND(D33,0)&lt;=0,"-",IFERROR(IF(U34="-","-",IFERROR(IF(T34=EOMONTH(T34,-1)+1,SUMIFS($I$17:I33,T$17:T33,"&lt;="&amp;U33,T$17:T33,"&gt;"&amp;EOMONTH(U33,-1)),-E33-F33),0))+D33,0))+X33-X32,0)</f>
        <v>87515.527054414779</v>
      </c>
      <c r="E34" s="53">
        <f>ROUND(($C$5-SUM($E$16:E33))*P34,2)</f>
        <v>0</v>
      </c>
      <c r="F34" s="53">
        <f>IF(Q34=1,SUM($I$16:$I34)-SUM($F$15:F32),IF((IF(E34&gt;0,SUM($I$16:$I34),0))-SUM($F$15:F32)&lt;0,0,(IF(E34&gt;0,SUM($I$16:$I34),0))-SUM($F$15:F32)))</f>
        <v>0</v>
      </c>
      <c r="G34" s="53">
        <f t="shared" si="6"/>
        <v>0</v>
      </c>
      <c r="H34" s="68">
        <f t="shared" si="2"/>
        <v>31</v>
      </c>
      <c r="I34" s="19">
        <f t="shared" si="3"/>
        <v>397.65616882122447</v>
      </c>
      <c r="J34" s="60">
        <f t="shared" si="7"/>
        <v>0</v>
      </c>
      <c r="K34" s="73">
        <f t="shared" si="4"/>
        <v>1</v>
      </c>
      <c r="L34" s="35" cm="1">
        <f t="array" ref="L34">IFERROR(INDEX(Rates!$G$5:$G$117,MATCH(1, (Rates!$C$5:$C$117&lt;=$C34)*(Rates!$D$5:$D$117&gt;=$B34), 0)), 0)</f>
        <v>1.4657534246575345E-2</v>
      </c>
      <c r="M34" s="36" t="str">
        <f t="shared" si="11"/>
        <v>March 31</v>
      </c>
      <c r="N34" s="37">
        <f t="shared" si="8"/>
        <v>0</v>
      </c>
      <c r="O34" s="38">
        <f>IF(IF($C$8="Yes",IF(N34&gt;1,COUNTIF($N$17:N34,$G$12),0)-1,IF(N34&gt;1,COUNTIF($N$17:N34,$G$12),0))&lt;0,0,IF($C$8="Yes",IF(N34&gt;1,COUNTIF($N$17:N34,$G$12),0)-1,IF(N34&gt;1,COUNTIF($N$17:N34,$G$12),0)))</f>
        <v>0</v>
      </c>
      <c r="P34" s="39">
        <f>IFERROR(INDEX(Rates!$P$4:$U$13,MATCH($C$7,Rates!$O$4:$O$13,0),MATCH(O34,Rates!$P$2:$U$2,0)),0)</f>
        <v>0</v>
      </c>
      <c r="Q34" s="50">
        <f t="shared" si="9"/>
        <v>0</v>
      </c>
      <c r="R34" s="50"/>
      <c r="S34" s="32"/>
      <c r="T34" s="59">
        <v>46447</v>
      </c>
      <c r="U34" s="57">
        <v>46477</v>
      </c>
      <c r="V34" s="51"/>
      <c r="W34" s="110">
        <f t="shared" si="10"/>
        <v>2027</v>
      </c>
      <c r="X34" s="111">
        <f t="shared" si="5"/>
        <v>0</v>
      </c>
    </row>
    <row r="35" spans="2:24">
      <c r="B35" s="123">
        <f t="shared" si="0"/>
        <v>46478</v>
      </c>
      <c r="C35" s="123">
        <f t="shared" si="1"/>
        <v>46507</v>
      </c>
      <c r="D35" s="53">
        <f>IFERROR(IF(ROUND(D34,0)&lt;=0,"-",IFERROR(IF(U35="-","-",IFERROR(IF(T35=EOMONTH(T35,-1)+1,SUMIFS($I$17:I34,T$17:T34,"&lt;="&amp;U34,T$17:T34,"&gt;"&amp;EOMONTH(U34,-1)),-E34-F34),0))+D34,0))+X34-X33,0)</f>
        <v>87913.183223236003</v>
      </c>
      <c r="E35" s="53">
        <f>ROUND(($C$5-SUM($E$16:E34))*P35,2)</f>
        <v>0</v>
      </c>
      <c r="F35" s="53">
        <f>IF(Q35=1,SUM($I$16:$I35)-SUM($F$15:F33),IF((IF(E35&gt;0,SUM($I$16:$I35),0))-SUM($F$15:F33)&lt;0,0,(IF(E35&gt;0,SUM($I$16:$I35),0))-SUM($F$15:F33)))</f>
        <v>0</v>
      </c>
      <c r="G35" s="53">
        <f t="shared" si="6"/>
        <v>0</v>
      </c>
      <c r="H35" s="68">
        <f t="shared" si="2"/>
        <v>30</v>
      </c>
      <c r="I35" s="19">
        <f t="shared" si="3"/>
        <v>386.57714814601042</v>
      </c>
      <c r="J35" s="60">
        <f t="shared" si="7"/>
        <v>0</v>
      </c>
      <c r="K35" s="73">
        <f t="shared" si="4"/>
        <v>1</v>
      </c>
      <c r="L35" s="35" cm="1">
        <f t="array" ref="L35">IFERROR(INDEX(Rates!$G$5:$G$117,MATCH(1, (Rates!$C$5:$C$117&lt;=$C35)*(Rates!$D$5:$D$117&gt;=$B35), 0)), 0)</f>
        <v>1.4657534246575345E-2</v>
      </c>
      <c r="M35" s="36" t="str">
        <f t="shared" si="11"/>
        <v>April 30</v>
      </c>
      <c r="N35" s="37">
        <f t="shared" si="8"/>
        <v>0</v>
      </c>
      <c r="O35" s="38">
        <f>IF(IF($C$8="Yes",IF(N35&gt;1,COUNTIF($N$17:N35,$G$12),0)-1,IF(N35&gt;1,COUNTIF($N$17:N35,$G$12),0))&lt;0,0,IF($C$8="Yes",IF(N35&gt;1,COUNTIF($N$17:N35,$G$12),0)-1,IF(N35&gt;1,COUNTIF($N$17:N35,$G$12),0)))</f>
        <v>0</v>
      </c>
      <c r="P35" s="39">
        <f>IFERROR(INDEX(Rates!$P$4:$U$13,MATCH($C$7,Rates!$O$4:$O$13,0),MATCH(O35,Rates!$P$2:$U$2,0)),0)</f>
        <v>0</v>
      </c>
      <c r="Q35" s="50">
        <f t="shared" si="9"/>
        <v>0</v>
      </c>
      <c r="R35" s="50"/>
      <c r="S35" s="32"/>
      <c r="T35" s="59">
        <v>46478</v>
      </c>
      <c r="U35" s="57">
        <v>46507</v>
      </c>
      <c r="V35" s="51"/>
      <c r="W35" s="110">
        <f t="shared" si="10"/>
        <v>2027</v>
      </c>
      <c r="X35" s="111">
        <f t="shared" si="5"/>
        <v>0</v>
      </c>
    </row>
    <row r="36" spans="2:24">
      <c r="B36" s="123">
        <f t="shared" si="0"/>
        <v>46508</v>
      </c>
      <c r="C36" s="123">
        <f t="shared" si="1"/>
        <v>46538</v>
      </c>
      <c r="D36" s="53">
        <f>IFERROR(IF(ROUND(D35,0)&lt;=0,"-",IFERROR(IF(U36="-","-",IFERROR(IF(T36=EOMONTH(T36,-1)+1,SUMIFS($I$17:I35,T$17:T35,"&lt;="&amp;U35,T$17:T35,"&gt;"&amp;EOMONTH(U35,-1)),-E35-F35),0))+D35,0))+X35-X34,0)</f>
        <v>88299.760371382014</v>
      </c>
      <c r="E36" s="53">
        <f>ROUND(($C$5-SUM($E$16:E35))*P36,2)</f>
        <v>0</v>
      </c>
      <c r="F36" s="53">
        <f>IF(Q36=1,SUM($I$16:$I36)-SUM($F$15:F34),IF((IF(E36&gt;0,SUM($I$16:$I36),0))-SUM($F$15:F34)&lt;0,0,(IF(E36&gt;0,SUM($I$16:$I36),0))-SUM($F$15:F34)))</f>
        <v>0</v>
      </c>
      <c r="G36" s="53">
        <f t="shared" si="6"/>
        <v>0</v>
      </c>
      <c r="H36" s="68">
        <f t="shared" si="2"/>
        <v>31</v>
      </c>
      <c r="I36" s="19">
        <f t="shared" si="3"/>
        <v>401.21959609845777</v>
      </c>
      <c r="J36" s="60">
        <f t="shared" si="7"/>
        <v>0</v>
      </c>
      <c r="K36" s="73">
        <f t="shared" si="4"/>
        <v>1</v>
      </c>
      <c r="L36" s="35" cm="1">
        <f t="array" ref="L36">IFERROR(INDEX(Rates!$G$5:$G$117,MATCH(1, (Rates!$C$5:$C$117&lt;=$C36)*(Rates!$D$5:$D$117&gt;=$B36), 0)), 0)</f>
        <v>1.4657534246575345E-2</v>
      </c>
      <c r="M36" s="36" t="str">
        <f t="shared" si="11"/>
        <v>May 31</v>
      </c>
      <c r="N36" s="37">
        <f t="shared" si="8"/>
        <v>0</v>
      </c>
      <c r="O36" s="38">
        <f>IF(IF($C$8="Yes",IF(N36&gt;1,COUNTIF($N$17:N36,$G$12),0)-1,IF(N36&gt;1,COUNTIF($N$17:N36,$G$12),0))&lt;0,0,IF($C$8="Yes",IF(N36&gt;1,COUNTIF($N$17:N36,$G$12),0)-1,IF(N36&gt;1,COUNTIF($N$17:N36,$G$12),0)))</f>
        <v>0</v>
      </c>
      <c r="P36" s="39">
        <f>IFERROR(INDEX(Rates!$P$4:$U$13,MATCH($C$7,Rates!$O$4:$O$13,0),MATCH(O36,Rates!$P$2:$U$2,0)),0)</f>
        <v>0</v>
      </c>
      <c r="Q36" s="50">
        <f t="shared" si="9"/>
        <v>0</v>
      </c>
      <c r="R36" s="32"/>
      <c r="S36" s="32"/>
      <c r="T36" s="59">
        <v>46508</v>
      </c>
      <c r="U36" s="57">
        <v>46538</v>
      </c>
      <c r="V36" s="51"/>
      <c r="W36" s="110">
        <f t="shared" si="10"/>
        <v>2027</v>
      </c>
      <c r="X36" s="111">
        <f t="shared" si="5"/>
        <v>0</v>
      </c>
    </row>
    <row r="37" spans="2:24">
      <c r="B37" s="123">
        <f t="shared" si="0"/>
        <v>46539</v>
      </c>
      <c r="C37" s="123">
        <f t="shared" si="1"/>
        <v>46553</v>
      </c>
      <c r="D37" s="53">
        <f>IFERROR(IF(ROUND(D36,0)&lt;=0,"-",IFERROR(IF(U37="-","-",IFERROR(IF(T37=EOMONTH(T37,-1)+1,SUMIFS($I$17:I36,T$17:T36,"&lt;="&amp;U36,T$17:T36,"&gt;"&amp;EOMONTH(U36,-1)),-E36-F36),0))+D36,0))+X36-X35,0)</f>
        <v>88700.979967480467</v>
      </c>
      <c r="E37" s="53">
        <f>ROUND(($C$5-SUM($E$16:E36))*P37,2)</f>
        <v>0</v>
      </c>
      <c r="F37" s="53">
        <f>IF(Q37=1,SUM($I$16:$I37)-SUM($F$15:F35),IF((IF(E37&gt;0,SUM($I$16:$I37),0))-SUM($F$15:F35)&lt;0,0,(IF(E37&gt;0,SUM($I$16:$I37),0))-SUM($F$15:F35)))</f>
        <v>0</v>
      </c>
      <c r="G37" s="53">
        <f t="shared" si="6"/>
        <v>0</v>
      </c>
      <c r="H37" s="68">
        <f t="shared" si="2"/>
        <v>15</v>
      </c>
      <c r="I37" s="19">
        <f t="shared" si="3"/>
        <v>195.02064773672078</v>
      </c>
      <c r="J37" s="60">
        <f t="shared" si="7"/>
        <v>0</v>
      </c>
      <c r="K37" s="73">
        <f t="shared" si="4"/>
        <v>1</v>
      </c>
      <c r="L37" s="35" cm="1">
        <f t="array" ref="L37">IFERROR(INDEX(Rates!$G$5:$G$117,MATCH(1, (Rates!$C$5:$C$117&lt;=$C37)*(Rates!$D$5:$D$117&gt;=$B37), 0)), 0)</f>
        <v>1.4657534246575345E-2</v>
      </c>
      <c r="M37" s="36" t="str">
        <f t="shared" si="11"/>
        <v>June 15</v>
      </c>
      <c r="N37" s="37">
        <f t="shared" si="8"/>
        <v>0</v>
      </c>
      <c r="O37" s="38">
        <f>IF(IF($C$8="Yes",IF(N37&gt;1,COUNTIF($N$17:N37,$G$12),0)-1,IF(N37&gt;1,COUNTIF($N$17:N37,$G$12),0))&lt;0,0,IF($C$8="Yes",IF(N37&gt;1,COUNTIF($N$17:N37,$G$12),0)-1,IF(N37&gt;1,COUNTIF($N$17:N37,$G$12),0)))</f>
        <v>0</v>
      </c>
      <c r="P37" s="39">
        <f>IFERROR(INDEX(Rates!$P$4:$U$13,MATCH($C$7,Rates!$O$4:$O$13,0),MATCH(O37,Rates!$P$2:$U$2,0)),0)</f>
        <v>0</v>
      </c>
      <c r="Q37" s="50">
        <f t="shared" si="9"/>
        <v>0</v>
      </c>
      <c r="R37" s="32"/>
      <c r="S37" s="32"/>
      <c r="T37" s="59">
        <v>46539</v>
      </c>
      <c r="U37" s="57">
        <v>46553</v>
      </c>
      <c r="V37" s="51"/>
      <c r="W37" s="110">
        <f t="shared" si="10"/>
        <v>2027</v>
      </c>
      <c r="X37" s="111">
        <f t="shared" si="5"/>
        <v>0</v>
      </c>
    </row>
    <row r="38" spans="2:24">
      <c r="B38" s="123">
        <f t="shared" si="0"/>
        <v>46554</v>
      </c>
      <c r="C38" s="123">
        <f t="shared" si="1"/>
        <v>46568</v>
      </c>
      <c r="D38" s="53">
        <f>IFERROR(IF(ROUND(D37,0)&lt;=0,"-",IFERROR(IF(U38="-","-",IFERROR(IF(T38=EOMONTH(T38,-1)+1,SUMIFS($I$17:I37,T$17:T37,"&lt;="&amp;U37,T$17:T37,"&gt;"&amp;EOMONTH(U37,-1)),-E37-F37),0))+D37,0))+X37-X36,0)</f>
        <v>88700.979967480467</v>
      </c>
      <c r="E38" s="53">
        <f>ROUND(($C$5-SUM($E$16:E37))*P38,2)</f>
        <v>0</v>
      </c>
      <c r="F38" s="53">
        <f>IF(Q38=1,SUM($I$16:$I38)-SUM($F$15:F36),IF((IF(E38&gt;0,SUM($I$16:$I38),0))-SUM($F$15:F36)&lt;0,0,(IF(E38&gt;0,SUM($I$16:$I38),0))-SUM($F$15:F36)))</f>
        <v>0</v>
      </c>
      <c r="G38" s="53">
        <f t="shared" si="6"/>
        <v>0</v>
      </c>
      <c r="H38" s="68">
        <f t="shared" si="2"/>
        <v>15</v>
      </c>
      <c r="I38" s="19">
        <f t="shared" si="3"/>
        <v>195.02064773672078</v>
      </c>
      <c r="J38" s="60">
        <f t="shared" si="7"/>
        <v>0</v>
      </c>
      <c r="K38" s="73">
        <f t="shared" si="4"/>
        <v>1</v>
      </c>
      <c r="L38" s="35" cm="1">
        <f t="array" ref="L38">IFERROR(INDEX(Rates!$G$5:$G$117,MATCH(1, (Rates!$C$5:$C$117&lt;=$C38)*(Rates!$D$5:$D$117&gt;=$B38), 0)), 0)</f>
        <v>1.4657534246575345E-2</v>
      </c>
      <c r="M38" s="36" t="str">
        <f t="shared" si="11"/>
        <v>June 30</v>
      </c>
      <c r="N38" s="37">
        <f t="shared" si="8"/>
        <v>0</v>
      </c>
      <c r="O38" s="38">
        <f>IF(IF($C$8="Yes",IF(N38&gt;1,COUNTIF($N$17:N38,$G$12),0)-1,IF(N38&gt;1,COUNTIF($N$17:N38,$G$12),0))&lt;0,0,IF($C$8="Yes",IF(N38&gt;1,COUNTIF($N$17:N38,$G$12),0)-1,IF(N38&gt;1,COUNTIF($N$17:N38,$G$12),0)))</f>
        <v>0</v>
      </c>
      <c r="P38" s="39">
        <f>IFERROR(INDEX(Rates!$P$4:$U$13,MATCH($C$7,Rates!$O$4:$O$13,0),MATCH(O38,Rates!$P$2:$U$2,0)),0)</f>
        <v>0</v>
      </c>
      <c r="Q38" s="50">
        <f t="shared" si="9"/>
        <v>0</v>
      </c>
      <c r="R38" s="32"/>
      <c r="S38" s="32"/>
      <c r="T38" s="59">
        <v>46554</v>
      </c>
      <c r="U38" s="57">
        <v>46568</v>
      </c>
      <c r="V38" s="51"/>
      <c r="W38" s="110">
        <f t="shared" si="10"/>
        <v>2027</v>
      </c>
      <c r="X38" s="111">
        <f t="shared" si="5"/>
        <v>0</v>
      </c>
    </row>
    <row r="39" spans="2:24">
      <c r="B39" s="123">
        <f t="shared" si="0"/>
        <v>46569</v>
      </c>
      <c r="C39" s="123">
        <f t="shared" si="1"/>
        <v>46599</v>
      </c>
      <c r="D39" s="53">
        <f>IFERROR(IF(ROUND(D38,0)&lt;=0,"-",IFERROR(IF(U39="-","-",IFERROR(IF(T39=EOMONTH(T39,-1)+1,SUMIFS($I$17:I38,T$17:T38,"&lt;="&amp;U38,T$17:T38,"&gt;"&amp;EOMONTH(U38,-1)),-E38-F38),0))+D38,0))+X38-X37,0)</f>
        <v>89091.021262953902</v>
      </c>
      <c r="E39" s="53">
        <f>ROUND(($C$5-SUM($E$16:E38))*P39,2)</f>
        <v>0</v>
      </c>
      <c r="F39" s="53">
        <f>IF(Q39=1,SUM($I$16:$I39)-SUM($F$15:F37),IF((IF(E39&gt;0,SUM($I$16:$I39),0))-SUM($F$15:F37)&lt;0,0,(IF(E39&gt;0,SUM($I$16:$I39),0))-SUM($F$15:F37)))</f>
        <v>0</v>
      </c>
      <c r="G39" s="53">
        <f t="shared" si="6"/>
        <v>0</v>
      </c>
      <c r="H39" s="68">
        <f t="shared" si="2"/>
        <v>31</v>
      </c>
      <c r="I39" s="19">
        <f t="shared" si="3"/>
        <v>404.81495551947694</v>
      </c>
      <c r="J39" s="60">
        <f t="shared" si="7"/>
        <v>0</v>
      </c>
      <c r="K39" s="73">
        <f t="shared" si="4"/>
        <v>1</v>
      </c>
      <c r="L39" s="35" cm="1">
        <f t="array" ref="L39">IFERROR(INDEX(Rates!$G$5:$G$117,MATCH(1, (Rates!$C$5:$C$117&lt;=$C39)*(Rates!$D$5:$D$117&gt;=$B39), 0)), 0)</f>
        <v>1.4657534246575345E-2</v>
      </c>
      <c r="M39" s="36" t="str">
        <f t="shared" si="11"/>
        <v>July 31</v>
      </c>
      <c r="N39" s="37">
        <f t="shared" si="8"/>
        <v>0</v>
      </c>
      <c r="O39" s="38">
        <f>IF(IF($C$8="Yes",IF(N39&gt;1,COUNTIF($N$17:N39,$G$12),0)-1,IF(N39&gt;1,COUNTIF($N$17:N39,$G$12),0))&lt;0,0,IF($C$8="Yes",IF(N39&gt;1,COUNTIF($N$17:N39,$G$12),0)-1,IF(N39&gt;1,COUNTIF($N$17:N39,$G$12),0)))</f>
        <v>0</v>
      </c>
      <c r="P39" s="39">
        <f>IFERROR(INDEX(Rates!$P$4:$U$13,MATCH($C$7,Rates!$O$4:$O$13,0),MATCH(O39,Rates!$P$2:$U$2,0)),0)</f>
        <v>0</v>
      </c>
      <c r="Q39" s="50">
        <f t="shared" si="9"/>
        <v>0</v>
      </c>
      <c r="R39" s="32"/>
      <c r="S39" s="32"/>
      <c r="T39" s="59">
        <v>46569</v>
      </c>
      <c r="U39" s="57">
        <v>46599</v>
      </c>
      <c r="V39" s="51"/>
      <c r="W39" s="110">
        <f t="shared" si="10"/>
        <v>2027</v>
      </c>
      <c r="X39" s="111">
        <f t="shared" si="5"/>
        <v>0</v>
      </c>
    </row>
    <row r="40" spans="2:24">
      <c r="B40" s="123">
        <f t="shared" si="0"/>
        <v>46600</v>
      </c>
      <c r="C40" s="123">
        <f t="shared" si="1"/>
        <v>46630</v>
      </c>
      <c r="D40" s="53">
        <f>IFERROR(IF(ROUND(D39,0)&lt;=0,"-",IFERROR(IF(U40="-","-",IFERROR(IF(T40=EOMONTH(T40,-1)+1,SUMIFS($I$17:I39,T$17:T39,"&lt;="&amp;U39,T$17:T39,"&gt;"&amp;EOMONTH(U39,-1)),-E39-F39),0))+D39,0))+X39-X38,0)</f>
        <v>89495.836218473385</v>
      </c>
      <c r="E40" s="53">
        <f>ROUND(($C$5-SUM($E$16:E39))*P40,2)</f>
        <v>0</v>
      </c>
      <c r="F40" s="53">
        <f>IF(Q40=1,SUM($I$16:$I40)-SUM($F$15:F38),IF((IF(E40&gt;0,SUM($I$16:$I40),0))-SUM($F$15:F38)&lt;0,0,(IF(E40&gt;0,SUM($I$16:$I40),0))-SUM($F$15:F38)))</f>
        <v>0</v>
      </c>
      <c r="G40" s="53">
        <f t="shared" si="6"/>
        <v>0</v>
      </c>
      <c r="H40" s="68">
        <f t="shared" si="2"/>
        <v>31</v>
      </c>
      <c r="I40" s="19">
        <f t="shared" si="3"/>
        <v>406.65436813243321</v>
      </c>
      <c r="J40" s="60">
        <f t="shared" si="7"/>
        <v>0</v>
      </c>
      <c r="K40" s="73">
        <f t="shared" si="4"/>
        <v>1</v>
      </c>
      <c r="L40" s="35" cm="1">
        <f t="array" ref="L40">IFERROR(INDEX(Rates!$G$5:$G$117,MATCH(1, (Rates!$C$5:$C$117&lt;=$C40)*(Rates!$D$5:$D$117&gt;=$B40), 0)), 0)</f>
        <v>1.4657534246575345E-2</v>
      </c>
      <c r="M40" s="36" t="str">
        <f t="shared" si="11"/>
        <v>August 31</v>
      </c>
      <c r="N40" s="37">
        <f t="shared" si="8"/>
        <v>0</v>
      </c>
      <c r="O40" s="38">
        <f>IF(IF($C$8="Yes",IF(N40&gt;1,COUNTIF($N$17:N40,$G$12),0)-1,IF(N40&gt;1,COUNTIF($N$17:N40,$G$12),0))&lt;0,0,IF($C$8="Yes",IF(N40&gt;1,COUNTIF($N$17:N40,$G$12),0)-1,IF(N40&gt;1,COUNTIF($N$17:N40,$G$12),0)))</f>
        <v>0</v>
      </c>
      <c r="P40" s="39">
        <f>IFERROR(INDEX(Rates!$P$4:$U$13,MATCH($C$7,Rates!$O$4:$O$13,0),MATCH(O40,Rates!$P$2:$U$2,0)),0)</f>
        <v>0</v>
      </c>
      <c r="Q40" s="50">
        <f t="shared" si="9"/>
        <v>0</v>
      </c>
      <c r="R40" s="32"/>
      <c r="S40" s="32"/>
      <c r="T40" s="59">
        <v>46600</v>
      </c>
      <c r="U40" s="57">
        <v>46630</v>
      </c>
      <c r="V40" s="51"/>
      <c r="W40" s="110">
        <f t="shared" si="10"/>
        <v>2027</v>
      </c>
      <c r="X40" s="111">
        <f t="shared" si="5"/>
        <v>0</v>
      </c>
    </row>
    <row r="41" spans="2:24">
      <c r="B41" s="123">
        <f t="shared" si="0"/>
        <v>46631</v>
      </c>
      <c r="C41" s="123">
        <f t="shared" si="1"/>
        <v>46660</v>
      </c>
      <c r="D41" s="53">
        <f>IFERROR(IF(ROUND(D40,0)&lt;=0,"-",IFERROR(IF(U41="-","-",IFERROR(IF(T41=EOMONTH(T41,-1)+1,SUMIFS($I$17:I40,T$17:T40,"&lt;="&amp;U40,T$17:T40,"&gt;"&amp;EOMONTH(U40,-1)),-E40-F40),0))+D40,0))+X40-X39,0)</f>
        <v>89902.490586605825</v>
      </c>
      <c r="E41" s="53">
        <f>ROUND(($C$5-SUM($E$16:E40))*P41,2)</f>
        <v>0</v>
      </c>
      <c r="F41" s="53">
        <f>IF(Q41=1,SUM($I$16:$I41)-SUM($F$15:F39),IF((IF(E41&gt;0,SUM($I$16:$I41),0))-SUM($F$15:F39)&lt;0,0,(IF(E41&gt;0,SUM($I$16:$I41),0))-SUM($F$15:F39)))</f>
        <v>0</v>
      </c>
      <c r="G41" s="53">
        <f t="shared" si="6"/>
        <v>0</v>
      </c>
      <c r="H41" s="68">
        <f t="shared" si="2"/>
        <v>30</v>
      </c>
      <c r="I41" s="19">
        <f t="shared" si="3"/>
        <v>395.32465038767776</v>
      </c>
      <c r="J41" s="60">
        <f t="shared" si="7"/>
        <v>0</v>
      </c>
      <c r="K41" s="73">
        <f t="shared" si="4"/>
        <v>1</v>
      </c>
      <c r="L41" s="35" cm="1">
        <f t="array" ref="L41">IFERROR(INDEX(Rates!$G$5:$G$117,MATCH(1, (Rates!$C$5:$C$117&lt;=$C41)*(Rates!$D$5:$D$117&gt;=$B41), 0)), 0)</f>
        <v>1.4657534246575345E-2</v>
      </c>
      <c r="M41" s="36" t="str">
        <f t="shared" si="11"/>
        <v>September 30</v>
      </c>
      <c r="N41" s="37">
        <f t="shared" si="8"/>
        <v>0</v>
      </c>
      <c r="O41" s="38">
        <f>IF(IF($C$8="Yes",IF(N41&gt;1,COUNTIF($N$17:N41,$G$12),0)-1,IF(N41&gt;1,COUNTIF($N$17:N41,$G$12),0))&lt;0,0,IF($C$8="Yes",IF(N41&gt;1,COUNTIF($N$17:N41,$G$12),0)-1,IF(N41&gt;1,COUNTIF($N$17:N41,$G$12),0)))</f>
        <v>0</v>
      </c>
      <c r="P41" s="39">
        <f>IFERROR(INDEX(Rates!$P$4:$U$13,MATCH($C$7,Rates!$O$4:$O$13,0),MATCH(O41,Rates!$P$2:$U$2,0)),0)</f>
        <v>0</v>
      </c>
      <c r="Q41" s="50">
        <f t="shared" si="9"/>
        <v>0</v>
      </c>
      <c r="R41" s="32"/>
      <c r="S41" s="32"/>
      <c r="T41" s="59">
        <v>46631</v>
      </c>
      <c r="U41" s="57">
        <v>46660</v>
      </c>
      <c r="V41" s="51"/>
      <c r="W41" s="110">
        <f t="shared" si="10"/>
        <v>2027</v>
      </c>
      <c r="X41" s="111">
        <f t="shared" si="5"/>
        <v>0</v>
      </c>
    </row>
    <row r="42" spans="2:24">
      <c r="B42" s="123">
        <f t="shared" si="0"/>
        <v>46661</v>
      </c>
      <c r="C42" s="123">
        <f t="shared" si="1"/>
        <v>46691</v>
      </c>
      <c r="D42" s="53">
        <f>IFERROR(IF(ROUND(D41,0)&lt;=0,"-",IFERROR(IF(U42="-","-",IFERROR(IF(T42=EOMONTH(T42,-1)+1,SUMIFS($I$17:I41,T$17:T41,"&lt;="&amp;U41,T$17:T41,"&gt;"&amp;EOMONTH(U41,-1)),-E41-F41),0))+D41,0))+X41-X40,0)</f>
        <v>90297.815236993498</v>
      </c>
      <c r="E42" s="53">
        <f>ROUND(($C$5-SUM($E$16:E41))*P42,2)</f>
        <v>0</v>
      </c>
      <c r="F42" s="53">
        <f>IF(Q42=1,SUM($I$16:$I42)-SUM($F$15:F40),IF((IF(E42&gt;0,SUM($I$16:$I42),0))-SUM($F$15:F40)&lt;0,0,(IF(E42&gt;0,SUM($I$16:$I42),0))-SUM($F$15:F40)))</f>
        <v>0</v>
      </c>
      <c r="G42" s="53">
        <f t="shared" si="6"/>
        <v>0</v>
      </c>
      <c r="H42" s="68">
        <f t="shared" si="2"/>
        <v>31</v>
      </c>
      <c r="I42" s="19">
        <f t="shared" si="3"/>
        <v>410.29842896042123</v>
      </c>
      <c r="J42" s="60">
        <f t="shared" si="7"/>
        <v>0</v>
      </c>
      <c r="K42" s="73">
        <f t="shared" si="4"/>
        <v>1</v>
      </c>
      <c r="L42" s="35" cm="1">
        <f t="array" ref="L42">IFERROR(INDEX(Rates!$G$5:$G$117,MATCH(1, (Rates!$C$5:$C$117&lt;=$C42)*(Rates!$D$5:$D$117&gt;=$B42), 0)), 0)</f>
        <v>1.4657534246575345E-2</v>
      </c>
      <c r="M42" s="36" t="str">
        <f t="shared" si="11"/>
        <v>October 31</v>
      </c>
      <c r="N42" s="37">
        <f t="shared" si="8"/>
        <v>0</v>
      </c>
      <c r="O42" s="38">
        <f>IF(IF($C$8="Yes",IF(N42&gt;1,COUNTIF($N$17:N42,$G$12),0)-1,IF(N42&gt;1,COUNTIF($N$17:N42,$G$12),0))&lt;0,0,IF($C$8="Yes",IF(N42&gt;1,COUNTIF($N$17:N42,$G$12),0)-1,IF(N42&gt;1,COUNTIF($N$17:N42,$G$12),0)))</f>
        <v>0</v>
      </c>
      <c r="P42" s="39">
        <f>IFERROR(INDEX(Rates!$P$4:$U$13,MATCH($C$7,Rates!$O$4:$O$13,0),MATCH(O42,Rates!$P$2:$U$2,0)),0)</f>
        <v>0</v>
      </c>
      <c r="Q42" s="50">
        <f t="shared" si="9"/>
        <v>0</v>
      </c>
      <c r="R42" s="32"/>
      <c r="S42" s="32"/>
      <c r="T42" s="59">
        <v>46661</v>
      </c>
      <c r="U42" s="57">
        <v>46691</v>
      </c>
      <c r="V42" s="51"/>
      <c r="W42" s="110">
        <f t="shared" si="10"/>
        <v>2027</v>
      </c>
      <c r="X42" s="111">
        <f t="shared" si="5"/>
        <v>0</v>
      </c>
    </row>
    <row r="43" spans="2:24">
      <c r="B43" s="123">
        <f t="shared" si="0"/>
        <v>46692</v>
      </c>
      <c r="C43" s="123">
        <f t="shared" si="1"/>
        <v>46721</v>
      </c>
      <c r="D43" s="53">
        <f>IFERROR(IF(ROUND(D42,0)&lt;=0,"-",IFERROR(IF(U43="-","-",IFERROR(IF(T43=EOMONTH(T43,-1)+1,SUMIFS($I$17:I42,T$17:T42,"&lt;="&amp;U42,T$17:T42,"&gt;"&amp;EOMONTH(U42,-1)),-E42-F42),0))+D42,0))+X42-X41,0)</f>
        <v>90708.113665953919</v>
      </c>
      <c r="E43" s="53">
        <f>ROUND(($C$5-SUM($E$16:E42))*P43,2)</f>
        <v>0</v>
      </c>
      <c r="F43" s="53">
        <f>IF(Q43=1,SUM($I$16:$I43)-SUM($F$15:F41),IF((IF(E43&gt;0,SUM($I$16:$I43),0))-SUM($F$15:F41)&lt;0,0,(IF(E43&gt;0,SUM($I$16:$I43),0))-SUM($F$15:F41)))</f>
        <v>0</v>
      </c>
      <c r="G43" s="53">
        <f t="shared" si="6"/>
        <v>0</v>
      </c>
      <c r="H43" s="68">
        <f t="shared" si="2"/>
        <v>30</v>
      </c>
      <c r="I43" s="19">
        <f t="shared" si="3"/>
        <v>398.86718475029062</v>
      </c>
      <c r="J43" s="60">
        <f t="shared" si="7"/>
        <v>0</v>
      </c>
      <c r="K43" s="73">
        <f t="shared" si="4"/>
        <v>1</v>
      </c>
      <c r="L43" s="35" cm="1">
        <f t="array" ref="L43">IFERROR(INDEX(Rates!$G$5:$G$117,MATCH(1, (Rates!$C$5:$C$117&lt;=$C43)*(Rates!$D$5:$D$117&gt;=$B43), 0)), 0)</f>
        <v>1.4657534246575345E-2</v>
      </c>
      <c r="M43" s="36" t="str">
        <f t="shared" si="11"/>
        <v>November 30</v>
      </c>
      <c r="N43" s="37">
        <f t="shared" si="8"/>
        <v>0</v>
      </c>
      <c r="O43" s="38">
        <f>IF(IF($C$8="Yes",IF(N43&gt;1,COUNTIF($N$17:N43,$G$12),0)-1,IF(N43&gt;1,COUNTIF($N$17:N43,$G$12),0))&lt;0,0,IF($C$8="Yes",IF(N43&gt;1,COUNTIF($N$17:N43,$G$12),0)-1,IF(N43&gt;1,COUNTIF($N$17:N43,$G$12),0)))</f>
        <v>0</v>
      </c>
      <c r="P43" s="39">
        <f>IFERROR(INDEX(Rates!$P$4:$U$13,MATCH($C$7,Rates!$O$4:$O$13,0),MATCH(O43,Rates!$P$2:$U$2,0)),0)</f>
        <v>0</v>
      </c>
      <c r="Q43" s="50">
        <f t="shared" si="9"/>
        <v>0</v>
      </c>
      <c r="R43" s="32"/>
      <c r="S43" s="52"/>
      <c r="T43" s="59">
        <v>46692</v>
      </c>
      <c r="U43" s="57">
        <v>46721</v>
      </c>
      <c r="V43" s="51"/>
      <c r="W43" s="110">
        <f t="shared" si="10"/>
        <v>2027</v>
      </c>
      <c r="X43" s="111">
        <f t="shared" si="5"/>
        <v>0</v>
      </c>
    </row>
    <row r="44" spans="2:24">
      <c r="B44" s="123">
        <f t="shared" si="0"/>
        <v>46722</v>
      </c>
      <c r="C44" s="123">
        <f t="shared" si="1"/>
        <v>46736</v>
      </c>
      <c r="D44" s="53">
        <f>IFERROR(IF(ROUND(D43,0)&lt;=0,"-",IFERROR(IF(U44="-","-",IFERROR(IF(T44=EOMONTH(T44,-1)+1,SUMIFS($I$17:I43,T$17:T43,"&lt;="&amp;U43,T$17:T43,"&gt;"&amp;EOMONTH(U43,-1)),-E43-F43),0))+D43,0))+X43-X42,0)</f>
        <v>91106.980850704203</v>
      </c>
      <c r="E44" s="53">
        <f>ROUND(($C$5-SUM($E$16:E43))*P44,2)</f>
        <v>21640.15</v>
      </c>
      <c r="F44" s="53">
        <f>IF(Q44=1,SUM($I$16:$I44)-SUM($F$15:F42),IF((IF(E44&gt;0,SUM($I$16:$I44),0))-SUM($F$15:F42)&lt;0,0,(IF(E44&gt;0,SUM($I$16:$I44),0))-SUM($F$15:F42)))</f>
        <v>4746.7114044924074</v>
      </c>
      <c r="G44" s="53">
        <f t="shared" si="6"/>
        <v>26386.861404492411</v>
      </c>
      <c r="H44" s="68">
        <f t="shared" si="2"/>
        <v>15</v>
      </c>
      <c r="I44" s="19">
        <f t="shared" si="3"/>
        <v>200.31055378819215</v>
      </c>
      <c r="J44" s="60">
        <f t="shared" si="7"/>
        <v>0.25</v>
      </c>
      <c r="K44" s="73">
        <f t="shared" si="4"/>
        <v>1</v>
      </c>
      <c r="L44" s="35" cm="1">
        <f t="array" ref="L44">IFERROR(INDEX(Rates!$G$5:$G$117,MATCH(1, (Rates!$C$5:$C$117&lt;=$C44)*(Rates!$D$5:$D$117&gt;=$B44), 0)), 0)</f>
        <v>1.4657534246575345E-2</v>
      </c>
      <c r="M44" s="36" t="str">
        <f t="shared" si="11"/>
        <v>December 15</v>
      </c>
      <c r="N44" s="37" t="str">
        <f t="shared" si="8"/>
        <v>December 15</v>
      </c>
      <c r="O44" s="38">
        <f>IF(IF($C$8="Yes",IF(N44&gt;1,COUNTIF($N$17:N44,$G$12),0)-1,IF(N44&gt;1,COUNTIF($N$17:N44,$G$12),0))&lt;0,0,IF($C$8="Yes",IF(N44&gt;1,COUNTIF($N$17:N44,$G$12),0)-1,IF(N44&gt;1,COUNTIF($N$17:N44,$G$12),0)))</f>
        <v>2</v>
      </c>
      <c r="P44" s="39">
        <f>IFERROR(INDEX(Rates!$P$4:$U$13,MATCH($C$7,Rates!$O$4:$O$13,0),MATCH(O44,Rates!$P$2:$U$2,0)),0)</f>
        <v>0.25</v>
      </c>
      <c r="Q44" s="50">
        <f t="shared" si="9"/>
        <v>0</v>
      </c>
      <c r="R44" s="32"/>
      <c r="S44" s="32"/>
      <c r="T44" s="59">
        <v>46722</v>
      </c>
      <c r="U44" s="57">
        <v>46736</v>
      </c>
      <c r="V44" s="51"/>
      <c r="W44" s="110">
        <f t="shared" si="10"/>
        <v>2027</v>
      </c>
      <c r="X44" s="111">
        <f t="shared" si="5"/>
        <v>200.31055378819215</v>
      </c>
    </row>
    <row r="45" spans="2:24">
      <c r="B45" s="123">
        <f t="shared" si="0"/>
        <v>46737</v>
      </c>
      <c r="C45" s="123">
        <f t="shared" si="1"/>
        <v>46752</v>
      </c>
      <c r="D45" s="53">
        <f>IFERROR(IF(ROUND(D44,0)&lt;=0,"-",IFERROR(IF(U45="-","-",IFERROR(IF(T45=EOMONTH(T45,-1)+1,SUMIFS($I$17:I44,T$17:T44,"&lt;="&amp;U44,T$17:T44,"&gt;"&amp;EOMONTH(U44,-1)),-E44-F44),0))+D44,0))+X44-X43,0)</f>
        <v>64920.429999999986</v>
      </c>
      <c r="E45" s="53">
        <f>ROUND(($C$5-SUM($E$16:E44))*P45,2)</f>
        <v>0</v>
      </c>
      <c r="F45" s="53">
        <f>IF(Q45=1,SUM($I$16:$I45)-SUM($F$15:F43),IF((IF(E45&gt;0,SUM($I$16:$I45),0))-SUM($F$15:F43)&lt;0,0,(IF(E45&gt;0,SUM($I$16:$I45),0))-SUM($F$15:F43)))</f>
        <v>0</v>
      </c>
      <c r="G45" s="53">
        <f t="shared" si="6"/>
        <v>0</v>
      </c>
      <c r="H45" s="68">
        <f t="shared" si="2"/>
        <v>16</v>
      </c>
      <c r="I45" s="19">
        <f t="shared" si="3"/>
        <v>152.25174816438354</v>
      </c>
      <c r="J45" s="60">
        <f t="shared" si="7"/>
        <v>0</v>
      </c>
      <c r="K45" s="73">
        <f t="shared" si="4"/>
        <v>1</v>
      </c>
      <c r="L45" s="35" cm="1">
        <f t="array" ref="L45">IFERROR(INDEX(Rates!$G$5:$G$117,MATCH(1, (Rates!$C$5:$C$117&lt;=$C45)*(Rates!$D$5:$D$117&gt;=$B45), 0)), 0)</f>
        <v>1.4657534246575345E-2</v>
      </c>
      <c r="M45" s="36" t="str">
        <f t="shared" si="11"/>
        <v>December 31</v>
      </c>
      <c r="N45" s="37">
        <f t="shared" si="8"/>
        <v>0</v>
      </c>
      <c r="O45" s="38">
        <f>IF(IF($C$8="Yes",IF(N45&gt;1,COUNTIF($N$17:N45,$G$12),0)-1,IF(N45&gt;1,COUNTIF($N$17:N45,$G$12),0))&lt;0,0,IF($C$8="Yes",IF(N45&gt;1,COUNTIF($N$17:N45,$G$12),0)-1,IF(N45&gt;1,COUNTIF($N$17:N45,$G$12),0)))</f>
        <v>0</v>
      </c>
      <c r="P45" s="39">
        <f>IFERROR(INDEX(Rates!$P$4:$U$13,MATCH($C$7,Rates!$O$4:$O$13,0),MATCH(O45,Rates!$P$2:$U$2,0)),0)</f>
        <v>0</v>
      </c>
      <c r="Q45" s="50">
        <f t="shared" si="9"/>
        <v>0</v>
      </c>
      <c r="R45" s="32"/>
      <c r="S45" s="32"/>
      <c r="T45" s="59">
        <v>46737</v>
      </c>
      <c r="U45" s="57">
        <v>46752</v>
      </c>
      <c r="V45" s="51"/>
      <c r="W45" s="110">
        <f t="shared" si="10"/>
        <v>2027</v>
      </c>
      <c r="X45" s="111">
        <f t="shared" si="5"/>
        <v>0</v>
      </c>
    </row>
    <row r="46" spans="2:24">
      <c r="B46" s="123">
        <f t="shared" si="0"/>
        <v>46753</v>
      </c>
      <c r="C46" s="123">
        <f t="shared" si="1"/>
        <v>46783</v>
      </c>
      <c r="D46" s="53">
        <f>IFERROR(IF(ROUND(D45,0)&lt;=0,"-",IFERROR(IF(U46="-","-",IFERROR(IF(T46=EOMONTH(T46,-1)+1,SUMIFS($I$17:I45,T$17:T45,"&lt;="&amp;U45,T$17:T45,"&gt;"&amp;EOMONTH(U45,-1)),-E45-F45),0))+D45,0))+X45-X44,0)</f>
        <v>65072.681748164367</v>
      </c>
      <c r="E46" s="53">
        <f>ROUND(($C$5-SUM($E$16:E45))*P46,2)</f>
        <v>0</v>
      </c>
      <c r="F46" s="53">
        <f>IF(Q46=1,SUM($I$16:$I46)-SUM($F$15:F44),IF((IF(E46&gt;0,SUM($I$16:$I46),0))-SUM($F$15:F44)&lt;0,0,(IF(E46&gt;0,SUM($I$16:$I46),0))-SUM($F$15:F44)))</f>
        <v>0</v>
      </c>
      <c r="G46" s="53">
        <f t="shared" si="6"/>
        <v>0</v>
      </c>
      <c r="H46" s="68">
        <f t="shared" si="2"/>
        <v>31</v>
      </c>
      <c r="I46" s="19">
        <f t="shared" si="3"/>
        <v>294.87170130964648</v>
      </c>
      <c r="J46" s="60">
        <f t="shared" si="7"/>
        <v>0</v>
      </c>
      <c r="K46" s="73">
        <f t="shared" si="4"/>
        <v>1</v>
      </c>
      <c r="L46" s="35" cm="1">
        <f t="array" ref="L46">IFERROR(INDEX(Rates!$G$5:$G$117,MATCH(1, (Rates!$C$5:$C$117&lt;=$C46)*(Rates!$D$5:$D$117&gt;=$B46), 0)), 0)</f>
        <v>1.4617486338797817E-2</v>
      </c>
      <c r="M46" s="36" t="str">
        <f t="shared" si="11"/>
        <v>January 31</v>
      </c>
      <c r="N46" s="37">
        <f t="shared" si="8"/>
        <v>0</v>
      </c>
      <c r="O46" s="38">
        <f>IF(IF($C$8="Yes",IF(N46&gt;1,COUNTIF($N$17:N46,$G$12),0)-1,IF(N46&gt;1,COUNTIF($N$17:N46,$G$12),0))&lt;0,0,IF($C$8="Yes",IF(N46&gt;1,COUNTIF($N$17:N46,$G$12),0)-1,IF(N46&gt;1,COUNTIF($N$17:N46,$G$12),0)))</f>
        <v>0</v>
      </c>
      <c r="P46" s="39">
        <f>IFERROR(INDEX(Rates!$P$4:$U$13,MATCH($C$7,Rates!$O$4:$O$13,0),MATCH(O46,Rates!$P$2:$U$2,0)),0)</f>
        <v>0</v>
      </c>
      <c r="Q46" s="50">
        <f t="shared" si="9"/>
        <v>0</v>
      </c>
      <c r="R46" s="32"/>
      <c r="S46" s="32"/>
      <c r="T46" s="59">
        <v>46753</v>
      </c>
      <c r="U46" s="57">
        <v>46783</v>
      </c>
      <c r="V46" s="51"/>
      <c r="W46" s="110">
        <f t="shared" si="10"/>
        <v>2028</v>
      </c>
      <c r="X46" s="111">
        <f t="shared" si="5"/>
        <v>0</v>
      </c>
    </row>
    <row r="47" spans="2:24">
      <c r="B47" s="123">
        <f t="shared" si="0"/>
        <v>46784</v>
      </c>
      <c r="C47" s="123">
        <f t="shared" si="1"/>
        <v>46812</v>
      </c>
      <c r="D47" s="53">
        <f>IFERROR(IF(ROUND(D46,0)&lt;=0,"-",IFERROR(IF(U47="-","-",IFERROR(IF(T47=EOMONTH(T47,-1)+1,SUMIFS($I$17:I46,T$17:T46,"&lt;="&amp;U46,T$17:T46,"&gt;"&amp;EOMONTH(U46,-1)),-E46-F46),0))+D46,0))+X46-X45,0)</f>
        <v>65367.553449474013</v>
      </c>
      <c r="E47" s="53">
        <f>ROUND(($C$5-SUM($E$16:E46))*P47,2)</f>
        <v>0</v>
      </c>
      <c r="F47" s="53">
        <f>IF(Q47=1,SUM($I$16:$I47)-SUM($F$15:F45),IF((IF(E47&gt;0,SUM($I$16:$I47),0))-SUM($F$15:F45)&lt;0,0,(IF(E47&gt;0,SUM($I$16:$I47),0))-SUM($F$15:F45)))</f>
        <v>0</v>
      </c>
      <c r="G47" s="53">
        <f t="shared" si="6"/>
        <v>0</v>
      </c>
      <c r="H47" s="68">
        <f t="shared" si="2"/>
        <v>29</v>
      </c>
      <c r="I47" s="19">
        <f t="shared" si="3"/>
        <v>277.09770266901353</v>
      </c>
      <c r="J47" s="60">
        <f t="shared" si="7"/>
        <v>0</v>
      </c>
      <c r="K47" s="73">
        <f t="shared" si="4"/>
        <v>1</v>
      </c>
      <c r="L47" s="35" cm="1">
        <f t="array" ref="L47">IFERROR(INDEX(Rates!$G$5:$G$117,MATCH(1, (Rates!$C$5:$C$117&lt;=$C47)*(Rates!$D$5:$D$117&gt;=$B47), 0)), 0)</f>
        <v>1.4617486338797817E-2</v>
      </c>
      <c r="M47" s="36" t="str">
        <f t="shared" si="11"/>
        <v>February 29</v>
      </c>
      <c r="N47" s="37">
        <f t="shared" si="8"/>
        <v>0</v>
      </c>
      <c r="O47" s="38">
        <f>IF(IF($C$8="Yes",IF(N47&gt;1,COUNTIF($N$17:N47,$G$12),0)-1,IF(N47&gt;1,COUNTIF($N$17:N47,$G$12),0))&lt;0,0,IF($C$8="Yes",IF(N47&gt;1,COUNTIF($N$17:N47,$G$12),0)-1,IF(N47&gt;1,COUNTIF($N$17:N47,$G$12),0)))</f>
        <v>0</v>
      </c>
      <c r="P47" s="39">
        <f>IFERROR(INDEX(Rates!$P$4:$U$13,MATCH($C$7,Rates!$O$4:$O$13,0),MATCH(O47,Rates!$P$2:$U$2,0)),0)</f>
        <v>0</v>
      </c>
      <c r="Q47" s="50">
        <f t="shared" si="9"/>
        <v>0</v>
      </c>
      <c r="R47" s="32"/>
      <c r="S47" s="32"/>
      <c r="T47" s="59">
        <v>46784</v>
      </c>
      <c r="U47" s="57">
        <v>46812</v>
      </c>
      <c r="V47" s="51"/>
      <c r="W47" s="110">
        <f t="shared" si="10"/>
        <v>2028</v>
      </c>
      <c r="X47" s="111">
        <f t="shared" si="5"/>
        <v>0</v>
      </c>
    </row>
    <row r="48" spans="2:24">
      <c r="B48" s="123">
        <f t="shared" si="0"/>
        <v>46813</v>
      </c>
      <c r="C48" s="123">
        <f t="shared" si="1"/>
        <v>46843</v>
      </c>
      <c r="D48" s="53">
        <f>IFERROR(IF(ROUND(D47,0)&lt;=0,"-",IFERROR(IF(U48="-","-",IFERROR(IF(T48=EOMONTH(T48,-1)+1,SUMIFS($I$17:I47,T$17:T47,"&lt;="&amp;U47,T$17:T47,"&gt;"&amp;EOMONTH(U47,-1)),-E47-F47),0))+D47,0))+X47-X46,0)</f>
        <v>65644.651152143022</v>
      </c>
      <c r="E48" s="53">
        <f>ROUND(($C$5-SUM($E$16:E47))*P48,2)</f>
        <v>0</v>
      </c>
      <c r="F48" s="53">
        <f>IF(Q48=1,SUM($I$16:$I48)-SUM($F$15:F46),IF((IF(E48&gt;0,SUM($I$16:$I48),0))-SUM($F$15:F46)&lt;0,0,(IF(E48&gt;0,SUM($I$16:$I48),0))-SUM($F$15:F46)))</f>
        <v>0</v>
      </c>
      <c r="G48" s="53">
        <f t="shared" si="6"/>
        <v>0</v>
      </c>
      <c r="H48" s="68">
        <f t="shared" si="2"/>
        <v>31</v>
      </c>
      <c r="I48" s="19">
        <f t="shared" si="3"/>
        <v>297.46353534379568</v>
      </c>
      <c r="J48" s="60">
        <f t="shared" si="7"/>
        <v>0</v>
      </c>
      <c r="K48" s="73">
        <f t="shared" si="4"/>
        <v>1</v>
      </c>
      <c r="L48" s="35" cm="1">
        <f t="array" ref="L48">IFERROR(INDEX(Rates!$G$5:$G$117,MATCH(1, (Rates!$C$5:$C$117&lt;=$C48)*(Rates!$D$5:$D$117&gt;=$B48), 0)), 0)</f>
        <v>1.4617486338797817E-2</v>
      </c>
      <c r="M48" s="36" t="str">
        <f t="shared" si="11"/>
        <v>March 31</v>
      </c>
      <c r="N48" s="37">
        <f t="shared" si="8"/>
        <v>0</v>
      </c>
      <c r="O48" s="38">
        <f>IF(IF($C$8="Yes",IF(N48&gt;1,COUNTIF($N$17:N48,$G$12),0)-1,IF(N48&gt;1,COUNTIF($N$17:N48,$G$12),0))&lt;0,0,IF($C$8="Yes",IF(N48&gt;1,COUNTIF($N$17:N48,$G$12),0)-1,IF(N48&gt;1,COUNTIF($N$17:N48,$G$12),0)))</f>
        <v>0</v>
      </c>
      <c r="P48" s="39">
        <f>IFERROR(INDEX(Rates!$P$4:$U$13,MATCH($C$7,Rates!$O$4:$O$13,0),MATCH(O48,Rates!$P$2:$U$2,0)),0)</f>
        <v>0</v>
      </c>
      <c r="Q48" s="50">
        <f t="shared" si="9"/>
        <v>0</v>
      </c>
      <c r="R48" s="32"/>
      <c r="S48" s="32"/>
      <c r="T48" s="59">
        <v>46813</v>
      </c>
      <c r="U48" s="57">
        <v>46843</v>
      </c>
      <c r="V48" s="51"/>
      <c r="W48" s="110">
        <f t="shared" si="10"/>
        <v>2028</v>
      </c>
      <c r="X48" s="111">
        <f t="shared" si="5"/>
        <v>0</v>
      </c>
    </row>
    <row r="49" spans="2:24">
      <c r="B49" s="123">
        <f t="shared" ref="B49:B80" si="12">IF(B48="-","-",IF(D49&gt;0,T49,"-"))</f>
        <v>46844</v>
      </c>
      <c r="C49" s="123">
        <f t="shared" ref="C49:C80" si="13">IF(C48="-","-",IF(D49&gt;0,U49,"-"))</f>
        <v>46873</v>
      </c>
      <c r="D49" s="53">
        <f>IFERROR(IF(ROUND(D48,0)&lt;=0,"-",IFERROR(IF(U49="-","-",IFERROR(IF(T49=EOMONTH(T49,-1)+1,SUMIFS($I$17:I48,T$17:T48,"&lt;="&amp;U48,T$17:T48,"&gt;"&amp;EOMONTH(U48,-1)),-E48-F48),0))+D48,0))+X48-X47,0)</f>
        <v>65942.114687486814</v>
      </c>
      <c r="E49" s="53">
        <f>ROUND(($C$5-SUM($E$16:E48))*P49,2)</f>
        <v>0</v>
      </c>
      <c r="F49" s="53">
        <f>IF(Q49=1,SUM($I$16:$I49)-SUM($F$15:F47),IF((IF(E49&gt;0,SUM($I$16:$I49),0))-SUM($F$15:F47)&lt;0,0,(IF(E49&gt;0,SUM($I$16:$I49),0))-SUM($F$15:F47)))</f>
        <v>0</v>
      </c>
      <c r="G49" s="53">
        <f t="shared" si="6"/>
        <v>0</v>
      </c>
      <c r="H49" s="68">
        <f t="shared" si="2"/>
        <v>30</v>
      </c>
      <c r="I49" s="19">
        <f t="shared" ref="I49:I80" si="14">IFERROR(L49*H49*D49/100,0)</f>
        <v>289.17238817873323</v>
      </c>
      <c r="J49" s="60">
        <f t="shared" si="7"/>
        <v>0</v>
      </c>
      <c r="K49" s="73">
        <f t="shared" ref="K49:K80" si="15">IF(I49&lt;=0,0,1)</f>
        <v>1</v>
      </c>
      <c r="L49" s="35" cm="1">
        <f t="array" ref="L49">IFERROR(INDEX(Rates!$G$5:$G$117,MATCH(1, (Rates!$C$5:$C$117&lt;=$C49)*(Rates!$D$5:$D$117&gt;=$B49), 0)), 0)</f>
        <v>1.4617486338797817E-2</v>
      </c>
      <c r="M49" s="36" t="str">
        <f t="shared" si="11"/>
        <v>April 30</v>
      </c>
      <c r="N49" s="37">
        <f t="shared" si="8"/>
        <v>0</v>
      </c>
      <c r="O49" s="38">
        <f>IF(IF($C$8="Yes",IF(N49&gt;1,COUNTIF($N$17:N49,$G$12),0)-1,IF(N49&gt;1,COUNTIF($N$17:N49,$G$12),0))&lt;0,0,IF($C$8="Yes",IF(N49&gt;1,COUNTIF($N$17:N49,$G$12),0)-1,IF(N49&gt;1,COUNTIF($N$17:N49,$G$12),0)))</f>
        <v>0</v>
      </c>
      <c r="P49" s="39">
        <f>IFERROR(INDEX(Rates!$P$4:$U$13,MATCH($C$7,Rates!$O$4:$O$13,0),MATCH(O49,Rates!$P$2:$U$2,0)),0)</f>
        <v>0</v>
      </c>
      <c r="Q49" s="50">
        <f t="shared" si="9"/>
        <v>0</v>
      </c>
      <c r="R49" s="32"/>
      <c r="S49" s="32"/>
      <c r="T49" s="59">
        <v>46844</v>
      </c>
      <c r="U49" s="57">
        <v>46873</v>
      </c>
      <c r="V49" s="51"/>
      <c r="W49" s="110">
        <f t="shared" si="10"/>
        <v>2028</v>
      </c>
      <c r="X49" s="111">
        <f t="shared" ref="X49:X80" si="16">IF(G49&gt;0,I49,0)</f>
        <v>0</v>
      </c>
    </row>
    <row r="50" spans="2:24">
      <c r="B50" s="123">
        <f t="shared" si="12"/>
        <v>46874</v>
      </c>
      <c r="C50" s="123">
        <f t="shared" si="13"/>
        <v>46904</v>
      </c>
      <c r="D50" s="53">
        <f>IFERROR(IF(ROUND(D49,0)&lt;=0,"-",IFERROR(IF(U50="-","-",IFERROR(IF(T50=EOMONTH(T50,-1)+1,SUMIFS($I$17:I49,T$17:T49,"&lt;="&amp;U49,T$17:T49,"&gt;"&amp;EOMONTH(U49,-1)),-E49-F49),0))+D49,0))+X49-X48,0)</f>
        <v>66231.287075665547</v>
      </c>
      <c r="E50" s="53">
        <f>ROUND(($C$5-SUM($E$16:E49))*P50,2)</f>
        <v>0</v>
      </c>
      <c r="F50" s="53">
        <f>IF(Q50=1,SUM($I$16:$I50)-SUM($F$15:F48),IF((IF(E50&gt;0,SUM($I$16:$I50),0))-SUM($F$15:F48)&lt;0,0,(IF(E50&gt;0,SUM($I$16:$I50),0))-SUM($F$15:F48)))</f>
        <v>0</v>
      </c>
      <c r="G50" s="53">
        <f t="shared" si="6"/>
        <v>0</v>
      </c>
      <c r="H50" s="68">
        <f t="shared" si="2"/>
        <v>31</v>
      </c>
      <c r="I50" s="19">
        <f t="shared" si="14"/>
        <v>300.12182954915659</v>
      </c>
      <c r="J50" s="60">
        <f t="shared" si="7"/>
        <v>0</v>
      </c>
      <c r="K50" s="73">
        <f t="shared" si="15"/>
        <v>1</v>
      </c>
      <c r="L50" s="35" cm="1">
        <f t="array" ref="L50">IFERROR(INDEX(Rates!$G$5:$G$117,MATCH(1, (Rates!$C$5:$C$117&lt;=$C50)*(Rates!$D$5:$D$117&gt;=$B50), 0)), 0)</f>
        <v>1.4617486338797817E-2</v>
      </c>
      <c r="M50" s="36" t="str">
        <f t="shared" si="11"/>
        <v>May 31</v>
      </c>
      <c r="N50" s="37">
        <f t="shared" si="8"/>
        <v>0</v>
      </c>
      <c r="O50" s="38">
        <f>IF(IF($C$8="Yes",IF(N50&gt;1,COUNTIF($N$17:N50,$G$12),0)-1,IF(N50&gt;1,COUNTIF($N$17:N50,$G$12),0))&lt;0,0,IF($C$8="Yes",IF(N50&gt;1,COUNTIF($N$17:N50,$G$12),0)-1,IF(N50&gt;1,COUNTIF($N$17:N50,$G$12),0)))</f>
        <v>0</v>
      </c>
      <c r="P50" s="39">
        <f>IFERROR(INDEX(Rates!$P$4:$U$13,MATCH($C$7,Rates!$O$4:$O$13,0),MATCH(O50,Rates!$P$2:$U$2,0)),0)</f>
        <v>0</v>
      </c>
      <c r="Q50" s="50">
        <f t="shared" si="9"/>
        <v>0</v>
      </c>
      <c r="R50" s="32"/>
      <c r="S50" s="32"/>
      <c r="T50" s="59">
        <v>46874</v>
      </c>
      <c r="U50" s="57">
        <v>46904</v>
      </c>
      <c r="V50" s="51"/>
      <c r="W50" s="110">
        <f t="shared" si="10"/>
        <v>2028</v>
      </c>
      <c r="X50" s="111">
        <f t="shared" si="16"/>
        <v>0</v>
      </c>
    </row>
    <row r="51" spans="2:24">
      <c r="B51" s="123">
        <f t="shared" si="12"/>
        <v>46905</v>
      </c>
      <c r="C51" s="123">
        <f t="shared" si="13"/>
        <v>46919</v>
      </c>
      <c r="D51" s="53">
        <f>IFERROR(IF(ROUND(D50,0)&lt;=0,"-",IFERROR(IF(U51="-","-",IFERROR(IF(T51=EOMONTH(T51,-1)+1,SUMIFS($I$17:I50,T$17:T50,"&lt;="&amp;U50,T$17:T50,"&gt;"&amp;EOMONTH(U50,-1)),-E50-F50),0))+D50,0))+X50-X49,0)</f>
        <v>66531.408905214703</v>
      </c>
      <c r="E51" s="53">
        <f>ROUND(($C$5-SUM($E$16:E50))*P51,2)</f>
        <v>0</v>
      </c>
      <c r="F51" s="53">
        <f>IF(Q51=1,SUM($I$16:$I51)-SUM($F$15:F49),IF((IF(E51&gt;0,SUM($I$16:$I51),0))-SUM($F$15:F49)&lt;0,0,(IF(E51&gt;0,SUM($I$16:$I51),0))-SUM($F$15:F49)))</f>
        <v>0</v>
      </c>
      <c r="G51" s="53">
        <f t="shared" si="6"/>
        <v>0</v>
      </c>
      <c r="H51" s="68">
        <f t="shared" si="2"/>
        <v>15</v>
      </c>
      <c r="I51" s="19">
        <f t="shared" si="14"/>
        <v>145.87829411594211</v>
      </c>
      <c r="J51" s="60">
        <f t="shared" si="7"/>
        <v>0</v>
      </c>
      <c r="K51" s="73">
        <f t="shared" si="15"/>
        <v>1</v>
      </c>
      <c r="L51" s="35" cm="1">
        <f t="array" ref="L51">IFERROR(INDEX(Rates!$G$5:$G$117,MATCH(1, (Rates!$C$5:$C$117&lt;=$C51)*(Rates!$D$5:$D$117&gt;=$B51), 0)), 0)</f>
        <v>1.4617486338797817E-2</v>
      </c>
      <c r="M51" s="36" t="str">
        <f t="shared" si="11"/>
        <v>June 15</v>
      </c>
      <c r="N51" s="37">
        <f t="shared" si="8"/>
        <v>0</v>
      </c>
      <c r="O51" s="38">
        <f>IF(IF($C$8="Yes",IF(N51&gt;1,COUNTIF($N$17:N51,$G$12),0)-1,IF(N51&gt;1,COUNTIF($N$17:N51,$G$12),0))&lt;0,0,IF($C$8="Yes",IF(N51&gt;1,COUNTIF($N$17:N51,$G$12),0)-1,IF(N51&gt;1,COUNTIF($N$17:N51,$G$12),0)))</f>
        <v>0</v>
      </c>
      <c r="P51" s="39">
        <f>IFERROR(INDEX(Rates!$P$4:$U$13,MATCH($C$7,Rates!$O$4:$O$13,0),MATCH(O51,Rates!$P$2:$U$2,0)),0)</f>
        <v>0</v>
      </c>
      <c r="Q51" s="50">
        <f t="shared" si="9"/>
        <v>0</v>
      </c>
      <c r="R51" s="32"/>
      <c r="S51" s="32"/>
      <c r="T51" s="59">
        <v>46905</v>
      </c>
      <c r="U51" s="57">
        <v>46919</v>
      </c>
      <c r="V51" s="51"/>
      <c r="W51" s="110">
        <f t="shared" si="10"/>
        <v>2028</v>
      </c>
      <c r="X51" s="111">
        <f t="shared" si="16"/>
        <v>0</v>
      </c>
    </row>
    <row r="52" spans="2:24">
      <c r="B52" s="123">
        <f t="shared" si="12"/>
        <v>46920</v>
      </c>
      <c r="C52" s="123">
        <f t="shared" si="13"/>
        <v>46934</v>
      </c>
      <c r="D52" s="53">
        <f>IFERROR(IF(ROUND(D51,0)&lt;=0,"-",IFERROR(IF(U52="-","-",IFERROR(IF(T52=EOMONTH(T52,-1)+1,SUMIFS($I$17:I51,T$17:T51,"&lt;="&amp;U51,T$17:T51,"&gt;"&amp;EOMONTH(U51,-1)),-E51-F51),0))+D51,0))+X51-X50,0)</f>
        <v>66531.408905214703</v>
      </c>
      <c r="E52" s="53">
        <f>ROUND(($C$5-SUM($E$16:E51))*P52,2)</f>
        <v>0</v>
      </c>
      <c r="F52" s="53">
        <f>IF(Q52=1,SUM($I$16:$I52)-SUM($F$15:F50),IF((IF(E52&gt;0,SUM($I$16:$I52),0))-SUM($F$15:F50)&lt;0,0,(IF(E52&gt;0,SUM($I$16:$I52),0))-SUM($F$15:F50)))</f>
        <v>0</v>
      </c>
      <c r="G52" s="53">
        <f t="shared" si="6"/>
        <v>0</v>
      </c>
      <c r="H52" s="68">
        <f t="shared" si="2"/>
        <v>15</v>
      </c>
      <c r="I52" s="19">
        <f t="shared" si="14"/>
        <v>145.87829411594211</v>
      </c>
      <c r="J52" s="60">
        <f t="shared" si="7"/>
        <v>0</v>
      </c>
      <c r="K52" s="73">
        <f t="shared" si="15"/>
        <v>1</v>
      </c>
      <c r="L52" s="35" cm="1">
        <f t="array" ref="L52">IFERROR(INDEX(Rates!$G$5:$G$117,MATCH(1, (Rates!$C$5:$C$117&lt;=$C52)*(Rates!$D$5:$D$117&gt;=$B52), 0)), 0)</f>
        <v>1.4617486338797817E-2</v>
      </c>
      <c r="M52" s="36" t="str">
        <f t="shared" si="11"/>
        <v>June 30</v>
      </c>
      <c r="N52" s="37">
        <f t="shared" si="8"/>
        <v>0</v>
      </c>
      <c r="O52" s="38">
        <f>IF(IF($C$8="Yes",IF(N52&gt;1,COUNTIF($N$17:N52,$G$12),0)-1,IF(N52&gt;1,COUNTIF($N$17:N52,$G$12),0))&lt;0,0,IF($C$8="Yes",IF(N52&gt;1,COUNTIF($N$17:N52,$G$12),0)-1,IF(N52&gt;1,COUNTIF($N$17:N52,$G$12),0)))</f>
        <v>0</v>
      </c>
      <c r="P52" s="39">
        <f>IFERROR(INDEX(Rates!$P$4:$U$13,MATCH($C$7,Rates!$O$4:$O$13,0),MATCH(O52,Rates!$P$2:$U$2,0)),0)</f>
        <v>0</v>
      </c>
      <c r="Q52" s="50">
        <f t="shared" si="9"/>
        <v>0</v>
      </c>
      <c r="R52" s="32"/>
      <c r="S52" s="32"/>
      <c r="T52" s="59">
        <v>46920</v>
      </c>
      <c r="U52" s="57">
        <v>46934</v>
      </c>
      <c r="V52" s="51"/>
      <c r="W52" s="110">
        <f t="shared" si="10"/>
        <v>2028</v>
      </c>
      <c r="X52" s="111">
        <f t="shared" si="16"/>
        <v>0</v>
      </c>
    </row>
    <row r="53" spans="2:24">
      <c r="B53" s="123">
        <f t="shared" si="12"/>
        <v>46935</v>
      </c>
      <c r="C53" s="123">
        <f t="shared" si="13"/>
        <v>46965</v>
      </c>
      <c r="D53" s="53">
        <f>IFERROR(IF(ROUND(D52,0)&lt;=0,"-",IFERROR(IF(U53="-","-",IFERROR(IF(T53=EOMONTH(T53,-1)+1,SUMIFS($I$17:I52,T$17:T52,"&lt;="&amp;U52,T$17:T52,"&gt;"&amp;EOMONTH(U52,-1)),-E52-F52),0))+D52,0))+X52-X51,0)</f>
        <v>66823.165493446591</v>
      </c>
      <c r="E53" s="53">
        <f>ROUND(($C$5-SUM($E$16:E52))*P53,2)</f>
        <v>0</v>
      </c>
      <c r="F53" s="53">
        <f>IF(Q53=1,SUM($I$16:$I53)-SUM($F$15:F51),IF((IF(E53&gt;0,SUM($I$16:$I53),0))-SUM($F$15:F51)&lt;0,0,(IF(E53&gt;0,SUM($I$16:$I53),0))-SUM($F$15:F51)))</f>
        <v>0</v>
      </c>
      <c r="G53" s="53">
        <f t="shared" si="6"/>
        <v>0</v>
      </c>
      <c r="H53" s="68">
        <f t="shared" si="2"/>
        <v>31</v>
      </c>
      <c r="I53" s="19">
        <f t="shared" si="14"/>
        <v>302.80387970186115</v>
      </c>
      <c r="J53" s="60">
        <f t="shared" si="7"/>
        <v>0</v>
      </c>
      <c r="K53" s="73">
        <f t="shared" si="15"/>
        <v>1</v>
      </c>
      <c r="L53" s="35" cm="1">
        <f t="array" ref="L53">IFERROR(INDEX(Rates!$G$5:$G$117,MATCH(1, (Rates!$C$5:$C$117&lt;=$C53)*(Rates!$D$5:$D$117&gt;=$B53), 0)), 0)</f>
        <v>1.4617486338797817E-2</v>
      </c>
      <c r="M53" s="36" t="str">
        <f t="shared" si="11"/>
        <v>July 31</v>
      </c>
      <c r="N53" s="37">
        <f t="shared" si="8"/>
        <v>0</v>
      </c>
      <c r="O53" s="38">
        <f>IF(IF($C$8="Yes",IF(N53&gt;1,COUNTIF($N$17:N53,$G$12),0)-1,IF(N53&gt;1,COUNTIF($N$17:N53,$G$12),0))&lt;0,0,IF($C$8="Yes",IF(N53&gt;1,COUNTIF($N$17:N53,$G$12),0)-1,IF(N53&gt;1,COUNTIF($N$17:N53,$G$12),0)))</f>
        <v>0</v>
      </c>
      <c r="P53" s="39">
        <f>IFERROR(INDEX(Rates!$P$4:$U$13,MATCH($C$7,Rates!$O$4:$O$13,0),MATCH(O53,Rates!$P$2:$U$2,0)),0)</f>
        <v>0</v>
      </c>
      <c r="Q53" s="50">
        <f t="shared" si="9"/>
        <v>0</v>
      </c>
      <c r="R53" s="32"/>
      <c r="S53" s="32"/>
      <c r="T53" s="59">
        <v>46935</v>
      </c>
      <c r="U53" s="57">
        <v>46965</v>
      </c>
      <c r="V53" s="51"/>
      <c r="W53" s="110">
        <f t="shared" si="10"/>
        <v>2028</v>
      </c>
      <c r="X53" s="111">
        <f t="shared" si="16"/>
        <v>0</v>
      </c>
    </row>
    <row r="54" spans="2:24">
      <c r="B54" s="123">
        <f t="shared" si="12"/>
        <v>46966</v>
      </c>
      <c r="C54" s="123">
        <f t="shared" si="13"/>
        <v>46996</v>
      </c>
      <c r="D54" s="53">
        <f>IFERROR(IF(ROUND(D53,0)&lt;=0,"-",IFERROR(IF(U54="-","-",IFERROR(IF(T54=EOMONTH(T54,-1)+1,SUMIFS($I$17:I53,T$17:T53,"&lt;="&amp;U53,T$17:T53,"&gt;"&amp;EOMONTH(U53,-1)),-E53-F53),0))+D53,0))+X53-X52,0)</f>
        <v>67125.969373148459</v>
      </c>
      <c r="E54" s="53">
        <f>ROUND(($C$5-SUM($E$16:E53))*P54,2)</f>
        <v>0</v>
      </c>
      <c r="F54" s="53">
        <f>IF(Q54=1,SUM($I$16:$I54)-SUM($F$15:F52),IF((IF(E54&gt;0,SUM($I$16:$I54),0))-SUM($F$15:F52)&lt;0,0,(IF(E54&gt;0,SUM($I$16:$I54),0))-SUM($F$15:F52)))</f>
        <v>0</v>
      </c>
      <c r="G54" s="53">
        <f t="shared" si="6"/>
        <v>0</v>
      </c>
      <c r="H54" s="68">
        <f t="shared" si="2"/>
        <v>31</v>
      </c>
      <c r="I54" s="19">
        <f t="shared" si="14"/>
        <v>304.17601149007305</v>
      </c>
      <c r="J54" s="60">
        <f t="shared" si="7"/>
        <v>0</v>
      </c>
      <c r="K54" s="73">
        <f t="shared" si="15"/>
        <v>1</v>
      </c>
      <c r="L54" s="35" cm="1">
        <f t="array" ref="L54">IFERROR(INDEX(Rates!$G$5:$G$117,MATCH(1, (Rates!$C$5:$C$117&lt;=$C54)*(Rates!$D$5:$D$117&gt;=$B54), 0)), 0)</f>
        <v>1.4617486338797817E-2</v>
      </c>
      <c r="M54" s="36" t="str">
        <f t="shared" si="11"/>
        <v>August 31</v>
      </c>
      <c r="N54" s="37">
        <f t="shared" si="8"/>
        <v>0</v>
      </c>
      <c r="O54" s="38">
        <f>IF(IF($C$8="Yes",IF(N54&gt;1,COUNTIF($N$17:N54,$G$12),0)-1,IF(N54&gt;1,COUNTIF($N$17:N54,$G$12),0))&lt;0,0,IF($C$8="Yes",IF(N54&gt;1,COUNTIF($N$17:N54,$G$12),0)-1,IF(N54&gt;1,COUNTIF($N$17:N54,$G$12),0)))</f>
        <v>0</v>
      </c>
      <c r="P54" s="39">
        <f>IFERROR(INDEX(Rates!$P$4:$U$13,MATCH($C$7,Rates!$O$4:$O$13,0),MATCH(O54,Rates!$P$2:$U$2,0)),0)</f>
        <v>0</v>
      </c>
      <c r="Q54" s="50">
        <f t="shared" si="9"/>
        <v>0</v>
      </c>
      <c r="R54" s="32"/>
      <c r="S54" s="32"/>
      <c r="T54" s="59">
        <v>46966</v>
      </c>
      <c r="U54" s="57">
        <v>46996</v>
      </c>
      <c r="V54" s="51"/>
      <c r="W54" s="110">
        <f t="shared" si="10"/>
        <v>2028</v>
      </c>
      <c r="X54" s="111">
        <f t="shared" si="16"/>
        <v>0</v>
      </c>
    </row>
    <row r="55" spans="2:24">
      <c r="B55" s="123">
        <f t="shared" si="12"/>
        <v>46997</v>
      </c>
      <c r="C55" s="123">
        <f t="shared" si="13"/>
        <v>47026</v>
      </c>
      <c r="D55" s="53">
        <f>IFERROR(IF(ROUND(D54,0)&lt;=0,"-",IFERROR(IF(U55="-","-",IFERROR(IF(T55=EOMONTH(T55,-1)+1,SUMIFS($I$17:I54,T$17:T54,"&lt;="&amp;U54,T$17:T54,"&gt;"&amp;EOMONTH(U54,-1)),-E54-F54),0))+D54,0))+X54-X53,0)</f>
        <v>67430.145384638527</v>
      </c>
      <c r="E55" s="53">
        <f>ROUND(($C$5-SUM($E$16:E54))*P55,2)</f>
        <v>0</v>
      </c>
      <c r="F55" s="53">
        <f>IF(Q55=1,SUM($I$16:$I55)-SUM($F$15:F53),IF((IF(E55&gt;0,SUM($I$16:$I55),0))-SUM($F$15:F53)&lt;0,0,(IF(E55&gt;0,SUM($I$16:$I55),0))-SUM($F$15:F53)))</f>
        <v>0</v>
      </c>
      <c r="G55" s="53">
        <f t="shared" si="6"/>
        <v>0</v>
      </c>
      <c r="H55" s="68">
        <f t="shared" si="2"/>
        <v>30</v>
      </c>
      <c r="I55" s="19">
        <f t="shared" si="14"/>
        <v>295.69776869493131</v>
      </c>
      <c r="J55" s="60">
        <f t="shared" si="7"/>
        <v>0</v>
      </c>
      <c r="K55" s="73">
        <f t="shared" si="15"/>
        <v>1</v>
      </c>
      <c r="L55" s="35" cm="1">
        <f t="array" ref="L55">IFERROR(INDEX(Rates!$G$5:$G$117,MATCH(1, (Rates!$C$5:$C$117&lt;=$C55)*(Rates!$D$5:$D$117&gt;=$B55), 0)), 0)</f>
        <v>1.4617486338797817E-2</v>
      </c>
      <c r="M55" s="36" t="str">
        <f t="shared" si="11"/>
        <v>September 30</v>
      </c>
      <c r="N55" s="37">
        <f t="shared" si="8"/>
        <v>0</v>
      </c>
      <c r="O55" s="38">
        <f>IF(IF($C$8="Yes",IF(N55&gt;1,COUNTIF($N$17:N55,$G$12),0)-1,IF(N55&gt;1,COUNTIF($N$17:N55,$G$12),0))&lt;0,0,IF($C$8="Yes",IF(N55&gt;1,COUNTIF($N$17:N55,$G$12),0)-1,IF(N55&gt;1,COUNTIF($N$17:N55,$G$12),0)))</f>
        <v>0</v>
      </c>
      <c r="P55" s="39">
        <f>IFERROR(INDEX(Rates!$P$4:$U$13,MATCH($C$7,Rates!$O$4:$O$13,0),MATCH(O55,Rates!$P$2:$U$2,0)),0)</f>
        <v>0</v>
      </c>
      <c r="Q55" s="50">
        <f t="shared" si="9"/>
        <v>0</v>
      </c>
      <c r="R55" s="32"/>
      <c r="S55" s="32"/>
      <c r="T55" s="59">
        <v>46997</v>
      </c>
      <c r="U55" s="57">
        <v>47026</v>
      </c>
      <c r="V55" s="51"/>
      <c r="W55" s="110">
        <f t="shared" si="10"/>
        <v>2028</v>
      </c>
      <c r="X55" s="111">
        <f t="shared" si="16"/>
        <v>0</v>
      </c>
    </row>
    <row r="56" spans="2:24">
      <c r="B56" s="123">
        <f t="shared" si="12"/>
        <v>47027</v>
      </c>
      <c r="C56" s="123">
        <f t="shared" si="13"/>
        <v>47057</v>
      </c>
      <c r="D56" s="53">
        <f>IFERROR(IF(ROUND(D55,0)&lt;=0,"-",IFERROR(IF(U56="-","-",IFERROR(IF(T56=EOMONTH(T56,-1)+1,SUMIFS($I$17:I55,T$17:T55,"&lt;="&amp;U55,T$17:T55,"&gt;"&amp;EOMONTH(U55,-1)),-E55-F55),0))+D55,0))+X55-X54,0)</f>
        <v>67725.843153333451</v>
      </c>
      <c r="E56" s="53">
        <f>ROUND(($C$5-SUM($E$16:E55))*P56,2)</f>
        <v>0</v>
      </c>
      <c r="F56" s="53">
        <f>IF(Q56=1,SUM($I$16:$I56)-SUM($F$15:F54),IF((IF(E56&gt;0,SUM($I$16:$I56),0))-SUM($F$15:F54)&lt;0,0,(IF(E56&gt;0,SUM($I$16:$I56),0))-SUM($F$15:F54)))</f>
        <v>0</v>
      </c>
      <c r="G56" s="53">
        <f t="shared" si="6"/>
        <v>0</v>
      </c>
      <c r="H56" s="68">
        <f t="shared" si="2"/>
        <v>31</v>
      </c>
      <c r="I56" s="19">
        <f t="shared" si="14"/>
        <v>306.89429199399876</v>
      </c>
      <c r="J56" s="60">
        <f t="shared" si="7"/>
        <v>0</v>
      </c>
      <c r="K56" s="73">
        <f t="shared" si="15"/>
        <v>1</v>
      </c>
      <c r="L56" s="35" cm="1">
        <f t="array" ref="L56">IFERROR(INDEX(Rates!$G$5:$G$117,MATCH(1, (Rates!$C$5:$C$117&lt;=$C56)*(Rates!$D$5:$D$117&gt;=$B56), 0)), 0)</f>
        <v>1.4617486338797817E-2</v>
      </c>
      <c r="M56" s="36" t="str">
        <f t="shared" si="11"/>
        <v>October 31</v>
      </c>
      <c r="N56" s="37">
        <f t="shared" si="8"/>
        <v>0</v>
      </c>
      <c r="O56" s="38">
        <f>IF(IF($C$8="Yes",IF(N56&gt;1,COUNTIF($N$17:N56,$G$12),0)-1,IF(N56&gt;1,COUNTIF($N$17:N56,$G$12),0))&lt;0,0,IF($C$8="Yes",IF(N56&gt;1,COUNTIF($N$17:N56,$G$12),0)-1,IF(N56&gt;1,COUNTIF($N$17:N56,$G$12),0)))</f>
        <v>0</v>
      </c>
      <c r="P56" s="39">
        <f>IFERROR(INDEX(Rates!$P$4:$U$13,MATCH($C$7,Rates!$O$4:$O$13,0),MATCH(O56,Rates!$P$2:$U$2,0)),0)</f>
        <v>0</v>
      </c>
      <c r="Q56" s="50">
        <f t="shared" si="9"/>
        <v>0</v>
      </c>
      <c r="R56" s="32"/>
      <c r="S56" s="32"/>
      <c r="T56" s="59">
        <v>47027</v>
      </c>
      <c r="U56" s="57">
        <v>47057</v>
      </c>
      <c r="V56" s="51"/>
      <c r="W56" s="110">
        <f t="shared" si="10"/>
        <v>2028</v>
      </c>
      <c r="X56" s="111">
        <f t="shared" si="16"/>
        <v>0</v>
      </c>
    </row>
    <row r="57" spans="2:24">
      <c r="B57" s="123">
        <f t="shared" si="12"/>
        <v>47058</v>
      </c>
      <c r="C57" s="123">
        <f t="shared" si="13"/>
        <v>47087</v>
      </c>
      <c r="D57" s="53">
        <f>IFERROR(IF(ROUND(D56,0)&lt;=0,"-",IFERROR(IF(U57="-","-",IFERROR(IF(T57=EOMONTH(T57,-1)+1,SUMIFS($I$17:I56,T$17:T56,"&lt;="&amp;U56,T$17:T56,"&gt;"&amp;EOMONTH(U56,-1)),-E56-F56),0))+D56,0))+X56-X55,0)</f>
        <v>68032.737445327453</v>
      </c>
      <c r="E57" s="53">
        <f>ROUND(($C$5-SUM($E$16:E56))*P57,2)</f>
        <v>0</v>
      </c>
      <c r="F57" s="53">
        <f>IF(Q57=1,SUM($I$16:$I57)-SUM($F$15:F55),IF((IF(E57&gt;0,SUM($I$16:$I57),0))-SUM($F$15:F55)&lt;0,0,(IF(E57&gt;0,SUM($I$16:$I57),0))-SUM($F$15:F55)))</f>
        <v>0</v>
      </c>
      <c r="G57" s="53">
        <f t="shared" si="6"/>
        <v>0</v>
      </c>
      <c r="H57" s="68">
        <f t="shared" si="2"/>
        <v>30</v>
      </c>
      <c r="I57" s="19">
        <f t="shared" si="14"/>
        <v>298.3402830594278</v>
      </c>
      <c r="J57" s="60">
        <f t="shared" si="7"/>
        <v>0</v>
      </c>
      <c r="K57" s="73">
        <f t="shared" si="15"/>
        <v>1</v>
      </c>
      <c r="L57" s="35" cm="1">
        <f t="array" ref="L57">IFERROR(INDEX(Rates!$G$5:$G$117,MATCH(1, (Rates!$C$5:$C$117&lt;=$C57)*(Rates!$D$5:$D$117&gt;=$B57), 0)), 0)</f>
        <v>1.4617486338797817E-2</v>
      </c>
      <c r="M57" s="36" t="str">
        <f t="shared" si="11"/>
        <v>November 30</v>
      </c>
      <c r="N57" s="37">
        <f t="shared" si="8"/>
        <v>0</v>
      </c>
      <c r="O57" s="38">
        <f>IF(IF($C$8="Yes",IF(N57&gt;1,COUNTIF($N$17:N57,$G$12),0)-1,IF(N57&gt;1,COUNTIF($N$17:N57,$G$12),0))&lt;0,0,IF($C$8="Yes",IF(N57&gt;1,COUNTIF($N$17:N57,$G$12),0)-1,IF(N57&gt;1,COUNTIF($N$17:N57,$G$12),0)))</f>
        <v>0</v>
      </c>
      <c r="P57" s="39">
        <f>IFERROR(INDEX(Rates!$P$4:$U$13,MATCH($C$7,Rates!$O$4:$O$13,0),MATCH(O57,Rates!$P$2:$U$2,0)),0)</f>
        <v>0</v>
      </c>
      <c r="Q57" s="50">
        <f t="shared" si="9"/>
        <v>0</v>
      </c>
      <c r="R57" s="32"/>
      <c r="S57" s="32"/>
      <c r="T57" s="59">
        <v>47058</v>
      </c>
      <c r="U57" s="57">
        <v>47087</v>
      </c>
      <c r="V57" s="51"/>
      <c r="W57" s="110">
        <f t="shared" si="10"/>
        <v>2028</v>
      </c>
      <c r="X57" s="111">
        <f t="shared" si="16"/>
        <v>0</v>
      </c>
    </row>
    <row r="58" spans="2:24">
      <c r="B58" s="123">
        <f t="shared" si="12"/>
        <v>47088</v>
      </c>
      <c r="C58" s="123">
        <f t="shared" si="13"/>
        <v>47102</v>
      </c>
      <c r="D58" s="53">
        <f>IFERROR(IF(ROUND(D57,0)&lt;=0,"-",IFERROR(IF(U58="-","-",IFERROR(IF(T58=EOMONTH(T58,-1)+1,SUMIFS($I$17:I57,T$17:T57,"&lt;="&amp;U57,T$17:T57,"&gt;"&amp;EOMONTH(U57,-1)),-E57-F57),0))+D57,0))+X57-X56,0)</f>
        <v>68331.077728386881</v>
      </c>
      <c r="E58" s="53">
        <f>ROUND(($C$5-SUM($E$16:E57))*P58,2)</f>
        <v>21637.98</v>
      </c>
      <c r="F58" s="53">
        <f>IF(Q58=1,SUM($I$16:$I58)-SUM($F$15:F56),IF((IF(E58&gt;0,SUM($I$16:$I58),0))-SUM($F$15:F56)&lt;0,0,(IF(E58&gt;0,SUM($I$16:$I58),0))-SUM($F$15:F56)))</f>
        <v>3560.4720176684095</v>
      </c>
      <c r="G58" s="53">
        <f t="shared" si="6"/>
        <v>25198.452017668409</v>
      </c>
      <c r="H58" s="68">
        <f t="shared" si="2"/>
        <v>15</v>
      </c>
      <c r="I58" s="19">
        <f t="shared" si="14"/>
        <v>149.82428928150406</v>
      </c>
      <c r="J58" s="60">
        <f t="shared" si="7"/>
        <v>0.33329999999999999</v>
      </c>
      <c r="K58" s="73">
        <f t="shared" si="15"/>
        <v>1</v>
      </c>
      <c r="L58" s="35" cm="1">
        <f t="array" ref="L58">IFERROR(INDEX(Rates!$G$5:$G$117,MATCH(1, (Rates!$C$5:$C$117&lt;=$C58)*(Rates!$D$5:$D$117&gt;=$B58), 0)), 0)</f>
        <v>1.4617486338797817E-2</v>
      </c>
      <c r="M58" s="36" t="str">
        <f t="shared" si="11"/>
        <v>December 15</v>
      </c>
      <c r="N58" s="37" t="str">
        <f t="shared" si="8"/>
        <v>December 15</v>
      </c>
      <c r="O58" s="38">
        <f>IF(IF($C$8="Yes",IF(N58&gt;1,COUNTIF($N$17:N58,$G$12),0)-1,IF(N58&gt;1,COUNTIF($N$17:N58,$G$12),0))&lt;0,0,IF($C$8="Yes",IF(N58&gt;1,COUNTIF($N$17:N58,$G$12),0)-1,IF(N58&gt;1,COUNTIF($N$17:N58,$G$12),0)))</f>
        <v>3</v>
      </c>
      <c r="P58" s="39">
        <f>IFERROR(INDEX(Rates!$P$4:$U$13,MATCH($C$7,Rates!$O$4:$O$13,0),MATCH(O58,Rates!$P$2:$U$2,0)),0)</f>
        <v>0.33329999999999999</v>
      </c>
      <c r="Q58" s="50">
        <f t="shared" si="9"/>
        <v>0</v>
      </c>
      <c r="R58" s="32"/>
      <c r="S58" s="32"/>
      <c r="T58" s="59">
        <v>47088</v>
      </c>
      <c r="U58" s="57">
        <v>47102</v>
      </c>
      <c r="V58" s="51"/>
      <c r="W58" s="110">
        <f t="shared" si="10"/>
        <v>2028</v>
      </c>
      <c r="X58" s="111">
        <f t="shared" si="16"/>
        <v>149.82428928150406</v>
      </c>
    </row>
    <row r="59" spans="2:24">
      <c r="B59" s="123">
        <f t="shared" si="12"/>
        <v>47103</v>
      </c>
      <c r="C59" s="123">
        <f t="shared" si="13"/>
        <v>47118</v>
      </c>
      <c r="D59" s="53">
        <f>IFERROR(IF(ROUND(D58,0)&lt;=0,"-",IFERROR(IF(U59="-","-",IFERROR(IF(T59=EOMONTH(T59,-1)+1,SUMIFS($I$17:I58,T$17:T58,"&lt;="&amp;U58,T$17:T58,"&gt;"&amp;EOMONTH(U58,-1)),-E58-F58),0))+D58,0))+X58-X57,0)</f>
        <v>43282.449999999975</v>
      </c>
      <c r="E59" s="53">
        <f>ROUND(($C$5-SUM($E$16:E58))*P59,2)</f>
        <v>0</v>
      </c>
      <c r="F59" s="53">
        <f>IF(Q59=1,SUM($I$16:$I59)-SUM($F$15:F57),IF((IF(E59&gt;0,SUM($I$16:$I59),0))-SUM($F$15:F57)&lt;0,0,(IF(E59&gt;0,SUM($I$16:$I59),0))-SUM($F$15:F57)))</f>
        <v>0</v>
      </c>
      <c r="G59" s="53">
        <f t="shared" si="6"/>
        <v>0</v>
      </c>
      <c r="H59" s="68">
        <f t="shared" si="2"/>
        <v>16</v>
      </c>
      <c r="I59" s="19">
        <f t="shared" si="14"/>
        <v>101.22889945355188</v>
      </c>
      <c r="J59" s="60">
        <f t="shared" si="7"/>
        <v>0</v>
      </c>
      <c r="K59" s="73">
        <f t="shared" si="15"/>
        <v>1</v>
      </c>
      <c r="L59" s="35" cm="1">
        <f t="array" ref="L59">IFERROR(INDEX(Rates!$G$5:$G$117,MATCH(1, (Rates!$C$5:$C$117&lt;=$C59)*(Rates!$D$5:$D$117&gt;=$B59), 0)), 0)</f>
        <v>1.4617486338797817E-2</v>
      </c>
      <c r="M59" s="36" t="str">
        <f t="shared" si="11"/>
        <v>December 31</v>
      </c>
      <c r="N59" s="37">
        <f t="shared" si="8"/>
        <v>0</v>
      </c>
      <c r="O59" s="38">
        <f>IF(IF($C$8="Yes",IF(N59&gt;1,COUNTIF($N$17:N59,$G$12),0)-1,IF(N59&gt;1,COUNTIF($N$17:N59,$G$12),0))&lt;0,0,IF($C$8="Yes",IF(N59&gt;1,COUNTIF($N$17:N59,$G$12),0)-1,IF(N59&gt;1,COUNTIF($N$17:N59,$G$12),0)))</f>
        <v>0</v>
      </c>
      <c r="P59" s="39">
        <f>IFERROR(INDEX(Rates!$P$4:$U$13,MATCH($C$7,Rates!$O$4:$O$13,0),MATCH(O59,Rates!$P$2:$U$2,0)),0)</f>
        <v>0</v>
      </c>
      <c r="Q59" s="50">
        <f t="shared" si="9"/>
        <v>0</v>
      </c>
      <c r="R59" s="32"/>
      <c r="S59" s="32"/>
      <c r="T59" s="59">
        <v>47103</v>
      </c>
      <c r="U59" s="57">
        <v>47118</v>
      </c>
      <c r="V59" s="51"/>
      <c r="W59" s="110">
        <f t="shared" si="10"/>
        <v>2028</v>
      </c>
      <c r="X59" s="111">
        <f t="shared" si="16"/>
        <v>0</v>
      </c>
    </row>
    <row r="60" spans="2:24">
      <c r="B60" s="123">
        <f t="shared" si="12"/>
        <v>47119</v>
      </c>
      <c r="C60" s="123">
        <f t="shared" si="13"/>
        <v>47149</v>
      </c>
      <c r="D60" s="53">
        <f>IFERROR(IF(ROUND(D59,0)&lt;=0,"-",IFERROR(IF(U60="-","-",IFERROR(IF(T60=EOMONTH(T60,-1)+1,SUMIFS($I$17:I59,T$17:T59,"&lt;="&amp;U59,T$17:T59,"&gt;"&amp;EOMONTH(U59,-1)),-E59-F59),0))+D59,0))+X59-X58,0)</f>
        <v>43383.678899453531</v>
      </c>
      <c r="E60" s="53">
        <f>ROUND(($C$5-SUM($E$16:E59))*P60,2)</f>
        <v>0</v>
      </c>
      <c r="F60" s="53">
        <f>IF(Q60=1,SUM($I$16:$I60)-SUM($F$15:F58),IF((IF(E60&gt;0,SUM($I$16:$I60),0))-SUM($F$15:F58)&lt;0,0,(IF(E60&gt;0,SUM($I$16:$I60),0))-SUM($F$15:F58)))</f>
        <v>0</v>
      </c>
      <c r="G60" s="53">
        <f t="shared" si="6"/>
        <v>0</v>
      </c>
      <c r="H60" s="68">
        <f t="shared" si="2"/>
        <v>31</v>
      </c>
      <c r="I60" s="19">
        <f t="shared" si="14"/>
        <v>197.12830535546217</v>
      </c>
      <c r="J60" s="60">
        <f t="shared" si="7"/>
        <v>0</v>
      </c>
      <c r="K60" s="73">
        <f t="shared" si="15"/>
        <v>1</v>
      </c>
      <c r="L60" s="35" cm="1">
        <f t="array" ref="L60">IFERROR(INDEX(Rates!$G$5:$G$117,MATCH(1, (Rates!$C$5:$C$117&lt;=$C60)*(Rates!$D$5:$D$117&gt;=$B60), 0)), 0)</f>
        <v>1.4657534246575345E-2</v>
      </c>
      <c r="M60" s="36" t="str">
        <f t="shared" si="11"/>
        <v>January 31</v>
      </c>
      <c r="N60" s="37">
        <f t="shared" si="8"/>
        <v>0</v>
      </c>
      <c r="O60" s="38">
        <f>IF(IF($C$8="Yes",IF(N60&gt;1,COUNTIF($N$17:N60,$G$12),0)-1,IF(N60&gt;1,COUNTIF($N$17:N60,$G$12),0))&lt;0,0,IF($C$8="Yes",IF(N60&gt;1,COUNTIF($N$17:N60,$G$12),0)-1,IF(N60&gt;1,COUNTIF($N$17:N60,$G$12),0)))</f>
        <v>0</v>
      </c>
      <c r="P60" s="39">
        <f>IFERROR(INDEX(Rates!$P$4:$U$13,MATCH($C$7,Rates!$O$4:$O$13,0),MATCH(O60,Rates!$P$2:$U$2,0)),0)</f>
        <v>0</v>
      </c>
      <c r="Q60" s="50">
        <f t="shared" si="9"/>
        <v>0</v>
      </c>
      <c r="R60" s="32"/>
      <c r="S60" s="32"/>
      <c r="T60" s="59">
        <v>47119</v>
      </c>
      <c r="U60" s="57">
        <v>47149</v>
      </c>
      <c r="V60" s="51"/>
      <c r="W60" s="110">
        <f t="shared" si="10"/>
        <v>2029</v>
      </c>
      <c r="X60" s="111">
        <f t="shared" si="16"/>
        <v>0</v>
      </c>
    </row>
    <row r="61" spans="2:24">
      <c r="B61" s="123">
        <f t="shared" si="12"/>
        <v>47150</v>
      </c>
      <c r="C61" s="123">
        <f t="shared" si="13"/>
        <v>47177</v>
      </c>
      <c r="D61" s="53">
        <f>IFERROR(IF(ROUND(D60,0)&lt;=0,"-",IFERROR(IF(U61="-","-",IFERROR(IF(T61=EOMONTH(T61,-1)+1,SUMIFS($I$17:I60,T$17:T60,"&lt;="&amp;U60,T$17:T60,"&gt;"&amp;EOMONTH(U60,-1)),-E60-F60),0))+D60,0))+X60-X59,0)</f>
        <v>43580.807204808996</v>
      </c>
      <c r="E61" s="53">
        <f>ROUND(($C$5-SUM($E$16:E60))*P61,2)</f>
        <v>0</v>
      </c>
      <c r="F61" s="53">
        <f>IF(Q61=1,SUM($I$16:$I61)-SUM($F$15:F59),IF((IF(E61&gt;0,SUM($I$16:$I61),0))-SUM($F$15:F59)&lt;0,0,(IF(E61&gt;0,SUM($I$16:$I61),0))-SUM($F$15:F59)))</f>
        <v>0</v>
      </c>
      <c r="G61" s="53">
        <f t="shared" si="6"/>
        <v>0</v>
      </c>
      <c r="H61" s="68">
        <f t="shared" si="2"/>
        <v>28</v>
      </c>
      <c r="I61" s="19">
        <f t="shared" si="14"/>
        <v>178.86040874740792</v>
      </c>
      <c r="J61" s="60">
        <f t="shared" si="7"/>
        <v>0</v>
      </c>
      <c r="K61" s="73">
        <f t="shared" si="15"/>
        <v>1</v>
      </c>
      <c r="L61" s="35" cm="1">
        <f t="array" ref="L61">IFERROR(INDEX(Rates!$G$5:$G$117,MATCH(1, (Rates!$C$5:$C$117&lt;=$C61)*(Rates!$D$5:$D$117&gt;=$B61), 0)), 0)</f>
        <v>1.4657534246575345E-2</v>
      </c>
      <c r="M61" s="36" t="str">
        <f t="shared" si="11"/>
        <v>February 28</v>
      </c>
      <c r="N61" s="37">
        <f t="shared" si="8"/>
        <v>0</v>
      </c>
      <c r="O61" s="38">
        <f>IF(IF($C$8="Yes",IF(N61&gt;1,COUNTIF($N$17:N61,$G$12),0)-1,IF(N61&gt;1,COUNTIF($N$17:N61,$G$12),0))&lt;0,0,IF($C$8="Yes",IF(N61&gt;1,COUNTIF($N$17:N61,$G$12),0)-1,IF(N61&gt;1,COUNTIF($N$17:N61,$G$12),0)))</f>
        <v>0</v>
      </c>
      <c r="P61" s="39">
        <f>IFERROR(INDEX(Rates!$P$4:$U$13,MATCH($C$7,Rates!$O$4:$O$13,0),MATCH(O61,Rates!$P$2:$U$2,0)),0)</f>
        <v>0</v>
      </c>
      <c r="Q61" s="50">
        <f t="shared" si="9"/>
        <v>0</v>
      </c>
      <c r="R61" s="32"/>
      <c r="S61" s="32"/>
      <c r="T61" s="59">
        <v>47150</v>
      </c>
      <c r="U61" s="57">
        <v>47177</v>
      </c>
      <c r="V61" s="51"/>
      <c r="W61" s="110">
        <f t="shared" si="10"/>
        <v>2029</v>
      </c>
      <c r="X61" s="111">
        <f t="shared" si="16"/>
        <v>0</v>
      </c>
    </row>
    <row r="62" spans="2:24">
      <c r="B62" s="123">
        <f t="shared" si="12"/>
        <v>47178</v>
      </c>
      <c r="C62" s="123">
        <f t="shared" si="13"/>
        <v>47208</v>
      </c>
      <c r="D62" s="53">
        <f>IFERROR(IF(ROUND(D61,0)&lt;=0,"-",IFERROR(IF(U62="-","-",IFERROR(IF(T62=EOMONTH(T62,-1)+1,SUMIFS($I$17:I61,T$17:T61,"&lt;="&amp;U61,T$17:T61,"&gt;"&amp;EOMONTH(U61,-1)),-E61-F61),0))+D61,0))+X61-X60,0)</f>
        <v>43759.667613556405</v>
      </c>
      <c r="E62" s="53">
        <f>ROUND(($C$5-SUM($E$16:E61))*P62,2)</f>
        <v>0</v>
      </c>
      <c r="F62" s="53">
        <f>IF(Q62=1,SUM($I$16:$I62)-SUM($F$15:F60),IF((IF(E62&gt;0,SUM($I$16:$I62),0))-SUM($F$15:F60)&lt;0,0,(IF(E62&gt;0,SUM($I$16:$I62),0))-SUM($F$15:F60)))</f>
        <v>0</v>
      </c>
      <c r="G62" s="53">
        <f t="shared" si="6"/>
        <v>0</v>
      </c>
      <c r="H62" s="68">
        <f t="shared" si="2"/>
        <v>31</v>
      </c>
      <c r="I62" s="19">
        <f t="shared" si="14"/>
        <v>198.83673626598167</v>
      </c>
      <c r="J62" s="60">
        <f t="shared" si="7"/>
        <v>0</v>
      </c>
      <c r="K62" s="73">
        <f t="shared" si="15"/>
        <v>1</v>
      </c>
      <c r="L62" s="35" cm="1">
        <f t="array" ref="L62">IFERROR(INDEX(Rates!$G$5:$G$117,MATCH(1, (Rates!$C$5:$C$117&lt;=$C62)*(Rates!$D$5:$D$117&gt;=$B62), 0)), 0)</f>
        <v>1.4657534246575345E-2</v>
      </c>
      <c r="M62" s="36" t="str">
        <f t="shared" si="11"/>
        <v>March 31</v>
      </c>
      <c r="N62" s="37">
        <f t="shared" si="8"/>
        <v>0</v>
      </c>
      <c r="O62" s="38">
        <f>IF(IF($C$8="Yes",IF(N62&gt;1,COUNTIF($N$17:N62,$G$12),0)-1,IF(N62&gt;1,COUNTIF($N$17:N62,$G$12),0))&lt;0,0,IF($C$8="Yes",IF(N62&gt;1,COUNTIF($N$17:N62,$G$12),0)-1,IF(N62&gt;1,COUNTIF($N$17:N62,$G$12),0)))</f>
        <v>0</v>
      </c>
      <c r="P62" s="39">
        <f>IFERROR(INDEX(Rates!$P$4:$U$13,MATCH($C$7,Rates!$O$4:$O$13,0),MATCH(O62,Rates!$P$2:$U$2,0)),0)</f>
        <v>0</v>
      </c>
      <c r="Q62" s="50">
        <f t="shared" si="9"/>
        <v>0</v>
      </c>
      <c r="R62" s="32"/>
      <c r="S62" s="32"/>
      <c r="T62" s="59">
        <v>47178</v>
      </c>
      <c r="U62" s="57">
        <v>47208</v>
      </c>
      <c r="V62" s="51"/>
      <c r="W62" s="110">
        <f t="shared" si="10"/>
        <v>2029</v>
      </c>
      <c r="X62" s="111">
        <f t="shared" si="16"/>
        <v>0</v>
      </c>
    </row>
    <row r="63" spans="2:24">
      <c r="B63" s="123">
        <f t="shared" si="12"/>
        <v>47209</v>
      </c>
      <c r="C63" s="123">
        <f t="shared" si="13"/>
        <v>47238</v>
      </c>
      <c r="D63" s="53">
        <f>IFERROR(IF(ROUND(D62,0)&lt;=0,"-",IFERROR(IF(U63="-","-",IFERROR(IF(T63=EOMONTH(T63,-1)+1,SUMIFS($I$17:I62,T$17:T62,"&lt;="&amp;U62,T$17:T62,"&gt;"&amp;EOMONTH(U62,-1)),-E62-F62),0))+D62,0))+X62-X61,0)</f>
        <v>43958.504349822389</v>
      </c>
      <c r="E63" s="53">
        <f>ROUND(($C$5-SUM($E$16:E62))*P63,2)</f>
        <v>0</v>
      </c>
      <c r="F63" s="53">
        <f>IF(Q63=1,SUM($I$16:$I63)-SUM($F$15:F61),IF((IF(E63&gt;0,SUM($I$16:$I63),0))-SUM($F$15:F61)&lt;0,0,(IF(E63&gt;0,SUM($I$16:$I63),0))-SUM($F$15:F61)))</f>
        <v>0</v>
      </c>
      <c r="G63" s="53">
        <f t="shared" si="6"/>
        <v>0</v>
      </c>
      <c r="H63" s="68">
        <f t="shared" si="2"/>
        <v>30</v>
      </c>
      <c r="I63" s="19">
        <f t="shared" si="14"/>
        <v>193.29698488072586</v>
      </c>
      <c r="J63" s="60">
        <f t="shared" si="7"/>
        <v>0</v>
      </c>
      <c r="K63" s="73">
        <f t="shared" si="15"/>
        <v>1</v>
      </c>
      <c r="L63" s="35" cm="1">
        <f t="array" ref="L63">IFERROR(INDEX(Rates!$G$5:$G$117,MATCH(1, (Rates!$C$5:$C$117&lt;=$C63)*(Rates!$D$5:$D$117&gt;=$B63), 0)), 0)</f>
        <v>1.4657534246575345E-2</v>
      </c>
      <c r="M63" s="36" t="str">
        <f t="shared" si="11"/>
        <v>April 30</v>
      </c>
      <c r="N63" s="37">
        <f t="shared" si="8"/>
        <v>0</v>
      </c>
      <c r="O63" s="38">
        <f>IF(IF($C$8="Yes",IF(N63&gt;1,COUNTIF($N$17:N63,$G$12),0)-1,IF(N63&gt;1,COUNTIF($N$17:N63,$G$12),0))&lt;0,0,IF($C$8="Yes",IF(N63&gt;1,COUNTIF($N$17:N63,$G$12),0)-1,IF(N63&gt;1,COUNTIF($N$17:N63,$G$12),0)))</f>
        <v>0</v>
      </c>
      <c r="P63" s="39">
        <f>IFERROR(INDEX(Rates!$P$4:$U$13,MATCH($C$7,Rates!$O$4:$O$13,0),MATCH(O63,Rates!$P$2:$U$2,0)),0)</f>
        <v>0</v>
      </c>
      <c r="Q63" s="50">
        <f t="shared" si="9"/>
        <v>0</v>
      </c>
      <c r="R63" s="32"/>
      <c r="S63" s="32"/>
      <c r="T63" s="59">
        <v>47209</v>
      </c>
      <c r="U63" s="57">
        <v>47238</v>
      </c>
      <c r="V63" s="51"/>
      <c r="W63" s="110">
        <f t="shared" si="10"/>
        <v>2029</v>
      </c>
      <c r="X63" s="111">
        <f t="shared" si="16"/>
        <v>0</v>
      </c>
    </row>
    <row r="64" spans="2:24">
      <c r="B64" s="123">
        <f t="shared" si="12"/>
        <v>47239</v>
      </c>
      <c r="C64" s="123">
        <f t="shared" si="13"/>
        <v>47269</v>
      </c>
      <c r="D64" s="53">
        <f>IFERROR(IF(ROUND(D63,0)&lt;=0,"-",IFERROR(IF(U64="-","-",IFERROR(IF(T64=EOMONTH(T64,-1)+1,SUMIFS($I$17:I63,T$17:T63,"&lt;="&amp;U63,T$17:T63,"&gt;"&amp;EOMONTH(U63,-1)),-E63-F63),0))+D63,0))+X63-X62,0)</f>
        <v>44151.801334703116</v>
      </c>
      <c r="E64" s="53">
        <f>ROUND(($C$5-SUM($E$16:E63))*P64,2)</f>
        <v>0</v>
      </c>
      <c r="F64" s="53">
        <f>IF(Q64=1,SUM($I$16:$I64)-SUM($F$15:F62),IF((IF(E64&gt;0,SUM($I$16:$I64),0))-SUM($F$15:F62)&lt;0,0,(IF(E64&gt;0,SUM($I$16:$I64),0))-SUM($F$15:F62)))</f>
        <v>0</v>
      </c>
      <c r="G64" s="53">
        <f t="shared" si="6"/>
        <v>0</v>
      </c>
      <c r="H64" s="68">
        <f t="shared" si="2"/>
        <v>31</v>
      </c>
      <c r="I64" s="19">
        <f t="shared" si="14"/>
        <v>200.6185274345346</v>
      </c>
      <c r="J64" s="60">
        <f t="shared" si="7"/>
        <v>0</v>
      </c>
      <c r="K64" s="73">
        <f t="shared" si="15"/>
        <v>1</v>
      </c>
      <c r="L64" s="35" cm="1">
        <f t="array" ref="L64">IFERROR(INDEX(Rates!$G$5:$G$117,MATCH(1, (Rates!$C$5:$C$117&lt;=$C64)*(Rates!$D$5:$D$117&gt;=$B64), 0)), 0)</f>
        <v>1.4657534246575345E-2</v>
      </c>
      <c r="M64" s="36" t="str">
        <f t="shared" si="11"/>
        <v>May 31</v>
      </c>
      <c r="N64" s="37">
        <f t="shared" si="8"/>
        <v>0</v>
      </c>
      <c r="O64" s="38">
        <f>IF(IF($C$8="Yes",IF(N64&gt;1,COUNTIF($N$17:N64,$G$12),0)-1,IF(N64&gt;1,COUNTIF($N$17:N64,$G$12),0))&lt;0,0,IF($C$8="Yes",IF(N64&gt;1,COUNTIF($N$17:N64,$G$12),0)-1,IF(N64&gt;1,COUNTIF($N$17:N64,$G$12),0)))</f>
        <v>0</v>
      </c>
      <c r="P64" s="39">
        <f>IFERROR(INDEX(Rates!$P$4:$U$13,MATCH($C$7,Rates!$O$4:$O$13,0),MATCH(O64,Rates!$P$2:$U$2,0)),0)</f>
        <v>0</v>
      </c>
      <c r="Q64" s="50">
        <f t="shared" si="9"/>
        <v>0</v>
      </c>
      <c r="R64" s="32"/>
      <c r="S64" s="32"/>
      <c r="T64" s="59">
        <v>47239</v>
      </c>
      <c r="U64" s="57">
        <v>47269</v>
      </c>
      <c r="V64" s="51"/>
      <c r="W64" s="110">
        <f t="shared" si="10"/>
        <v>2029</v>
      </c>
      <c r="X64" s="111">
        <f t="shared" si="16"/>
        <v>0</v>
      </c>
    </row>
    <row r="65" spans="2:24">
      <c r="B65" s="123">
        <f t="shared" si="12"/>
        <v>47270</v>
      </c>
      <c r="C65" s="123">
        <f t="shared" si="13"/>
        <v>47284</v>
      </c>
      <c r="D65" s="53">
        <f>IFERROR(IF(ROUND(D64,0)&lt;=0,"-",IFERROR(IF(U65="-","-",IFERROR(IF(T65=EOMONTH(T65,-1)+1,SUMIFS($I$17:I64,T$17:T64,"&lt;="&amp;U64,T$17:T64,"&gt;"&amp;EOMONTH(U64,-1)),-E64-F64),0))+D64,0))+X64-X63,0)</f>
        <v>44352.419862137649</v>
      </c>
      <c r="E65" s="53">
        <f>ROUND(($C$5-SUM($E$16:E64))*P65,2)</f>
        <v>0</v>
      </c>
      <c r="F65" s="53">
        <f>IF(Q65=1,SUM($I$16:$I65)-SUM($F$15:F63),IF((IF(E65&gt;0,SUM($I$16:$I65),0))-SUM($F$15:F63)&lt;0,0,(IF(E65&gt;0,SUM($I$16:$I65),0))-SUM($F$15:F63)))</f>
        <v>0</v>
      </c>
      <c r="G65" s="53">
        <f t="shared" si="6"/>
        <v>0</v>
      </c>
      <c r="H65" s="68">
        <f t="shared" si="2"/>
        <v>15</v>
      </c>
      <c r="I65" s="19">
        <f t="shared" si="14"/>
        <v>97.514566957165684</v>
      </c>
      <c r="J65" s="60">
        <f t="shared" si="7"/>
        <v>0</v>
      </c>
      <c r="K65" s="73">
        <f t="shared" si="15"/>
        <v>1</v>
      </c>
      <c r="L65" s="35" cm="1">
        <f t="array" ref="L65">IFERROR(INDEX(Rates!$G$5:$G$117,MATCH(1, (Rates!$C$5:$C$117&lt;=$C65)*(Rates!$D$5:$D$117&gt;=$B65), 0)), 0)</f>
        <v>1.4657534246575345E-2</v>
      </c>
      <c r="M65" s="36" t="str">
        <f t="shared" si="11"/>
        <v>June 15</v>
      </c>
      <c r="N65" s="37">
        <f t="shared" si="8"/>
        <v>0</v>
      </c>
      <c r="O65" s="38">
        <f>IF(IF($C$8="Yes",IF(N65&gt;1,COUNTIF($N$17:N65,$G$12),0)-1,IF(N65&gt;1,COUNTIF($N$17:N65,$G$12),0))&lt;0,0,IF($C$8="Yes",IF(N65&gt;1,COUNTIF($N$17:N65,$G$12),0)-1,IF(N65&gt;1,COUNTIF($N$17:N65,$G$12),0)))</f>
        <v>0</v>
      </c>
      <c r="P65" s="39">
        <f>IFERROR(INDEX(Rates!$P$4:$U$13,MATCH($C$7,Rates!$O$4:$O$13,0),MATCH(O65,Rates!$P$2:$U$2,0)),0)</f>
        <v>0</v>
      </c>
      <c r="Q65" s="50">
        <f t="shared" si="9"/>
        <v>0</v>
      </c>
      <c r="R65" s="32"/>
      <c r="S65" s="32"/>
      <c r="T65" s="59">
        <v>47270</v>
      </c>
      <c r="U65" s="57">
        <v>47284</v>
      </c>
      <c r="V65" s="51"/>
      <c r="W65" s="110">
        <f t="shared" si="10"/>
        <v>2029</v>
      </c>
      <c r="X65" s="111">
        <f t="shared" si="16"/>
        <v>0</v>
      </c>
    </row>
    <row r="66" spans="2:24">
      <c r="B66" s="123">
        <f t="shared" si="12"/>
        <v>47285</v>
      </c>
      <c r="C66" s="123">
        <f t="shared" si="13"/>
        <v>47299</v>
      </c>
      <c r="D66" s="53">
        <f>IFERROR(IF(ROUND(D65,0)&lt;=0,"-",IFERROR(IF(U66="-","-",IFERROR(IF(T66=EOMONTH(T66,-1)+1,SUMIFS($I$17:I65,T$17:T65,"&lt;="&amp;U65,T$17:T65,"&gt;"&amp;EOMONTH(U65,-1)),-E65-F65),0))+D65,0))+X65-X64,0)</f>
        <v>44352.419862137649</v>
      </c>
      <c r="E66" s="53">
        <f>ROUND(($C$5-SUM($E$16:E65))*P66,2)</f>
        <v>0</v>
      </c>
      <c r="F66" s="53">
        <f>IF(Q66=1,SUM($I$16:$I66)-SUM($F$15:F64),IF((IF(E66&gt;0,SUM($I$16:$I66),0))-SUM($F$15:F64)&lt;0,0,(IF(E66&gt;0,SUM($I$16:$I66),0))-SUM($F$15:F64)))</f>
        <v>0</v>
      </c>
      <c r="G66" s="53">
        <f t="shared" si="6"/>
        <v>0</v>
      </c>
      <c r="H66" s="68">
        <f t="shared" si="2"/>
        <v>15</v>
      </c>
      <c r="I66" s="19">
        <f t="shared" si="14"/>
        <v>97.514566957165684</v>
      </c>
      <c r="J66" s="60">
        <f t="shared" si="7"/>
        <v>0</v>
      </c>
      <c r="K66" s="73">
        <f t="shared" si="15"/>
        <v>1</v>
      </c>
      <c r="L66" s="35" cm="1">
        <f t="array" ref="L66">IFERROR(INDEX(Rates!$G$5:$G$117,MATCH(1, (Rates!$C$5:$C$117&lt;=$C66)*(Rates!$D$5:$D$117&gt;=$B66), 0)), 0)</f>
        <v>1.4657534246575345E-2</v>
      </c>
      <c r="M66" s="36" t="str">
        <f t="shared" si="11"/>
        <v>June 30</v>
      </c>
      <c r="N66" s="37">
        <f t="shared" si="8"/>
        <v>0</v>
      </c>
      <c r="O66" s="38">
        <f>IF(IF($C$8="Yes",IF(N66&gt;1,COUNTIF($N$17:N66,$G$12),0)-1,IF(N66&gt;1,COUNTIF($N$17:N66,$G$12),0))&lt;0,0,IF($C$8="Yes",IF(N66&gt;1,COUNTIF($N$17:N66,$G$12),0)-1,IF(N66&gt;1,COUNTIF($N$17:N66,$G$12),0)))</f>
        <v>0</v>
      </c>
      <c r="P66" s="39">
        <f>IFERROR(INDEX(Rates!$P$4:$U$13,MATCH($C$7,Rates!$O$4:$O$13,0),MATCH(O66,Rates!$P$2:$U$2,0)),0)</f>
        <v>0</v>
      </c>
      <c r="Q66" s="50">
        <f t="shared" si="9"/>
        <v>0</v>
      </c>
      <c r="R66" s="32"/>
      <c r="S66" s="32"/>
      <c r="T66" s="59">
        <v>47285</v>
      </c>
      <c r="U66" s="57">
        <v>47299</v>
      </c>
      <c r="V66" s="51"/>
      <c r="W66" s="110">
        <f t="shared" si="10"/>
        <v>2029</v>
      </c>
      <c r="X66" s="111">
        <f t="shared" si="16"/>
        <v>0</v>
      </c>
    </row>
    <row r="67" spans="2:24">
      <c r="B67" s="123">
        <f t="shared" si="12"/>
        <v>47300</v>
      </c>
      <c r="C67" s="123">
        <f t="shared" si="13"/>
        <v>47330</v>
      </c>
      <c r="D67" s="53">
        <f>IFERROR(IF(ROUND(D66,0)&lt;=0,"-",IFERROR(IF(U67="-","-",IFERROR(IF(T67=EOMONTH(T67,-1)+1,SUMIFS($I$17:I66,T$17:T66,"&lt;="&amp;U66,T$17:T66,"&gt;"&amp;EOMONTH(U66,-1)),-E66-F66),0))+D66,0))+X66-X65,0)</f>
        <v>44547.448996051979</v>
      </c>
      <c r="E67" s="53">
        <f>ROUND(($C$5-SUM($E$16:E66))*P67,2)</f>
        <v>0</v>
      </c>
      <c r="F67" s="53">
        <f>IF(Q67=1,SUM($I$16:$I67)-SUM($F$15:F65),IF((IF(E67&gt;0,SUM($I$16:$I67),0))-SUM($F$15:F65)&lt;0,0,(IF(E67&gt;0,SUM($I$16:$I67),0))-SUM($F$15:F65)))</f>
        <v>0</v>
      </c>
      <c r="G67" s="53">
        <f t="shared" si="6"/>
        <v>0</v>
      </c>
      <c r="H67" s="68">
        <f t="shared" si="2"/>
        <v>31</v>
      </c>
      <c r="I67" s="19">
        <f t="shared" si="14"/>
        <v>202.41628536973209</v>
      </c>
      <c r="J67" s="60">
        <f t="shared" si="7"/>
        <v>0</v>
      </c>
      <c r="K67" s="73">
        <f t="shared" si="15"/>
        <v>1</v>
      </c>
      <c r="L67" s="35" cm="1">
        <f t="array" ref="L67">IFERROR(INDEX(Rates!$G$5:$G$117,MATCH(1, (Rates!$C$5:$C$117&lt;=$C67)*(Rates!$D$5:$D$117&gt;=$B67), 0)), 0)</f>
        <v>1.4657534246575345E-2</v>
      </c>
      <c r="M67" s="36" t="str">
        <f t="shared" si="11"/>
        <v>July 31</v>
      </c>
      <c r="N67" s="37">
        <f t="shared" si="8"/>
        <v>0</v>
      </c>
      <c r="O67" s="38">
        <f>IF(IF($C$8="Yes",IF(N67&gt;1,COUNTIF($N$17:N67,$G$12),0)-1,IF(N67&gt;1,COUNTIF($N$17:N67,$G$12),0))&lt;0,0,IF($C$8="Yes",IF(N67&gt;1,COUNTIF($N$17:N67,$G$12),0)-1,IF(N67&gt;1,COUNTIF($N$17:N67,$G$12),0)))</f>
        <v>0</v>
      </c>
      <c r="P67" s="39">
        <f>IFERROR(INDEX(Rates!$P$4:$U$13,MATCH($C$7,Rates!$O$4:$O$13,0),MATCH(O67,Rates!$P$2:$U$2,0)),0)</f>
        <v>0</v>
      </c>
      <c r="Q67" s="50">
        <f t="shared" si="9"/>
        <v>0</v>
      </c>
      <c r="R67" s="32"/>
      <c r="S67" s="32"/>
      <c r="T67" s="59">
        <v>47300</v>
      </c>
      <c r="U67" s="57">
        <v>47330</v>
      </c>
      <c r="V67" s="51"/>
      <c r="W67" s="110">
        <f t="shared" si="10"/>
        <v>2029</v>
      </c>
      <c r="X67" s="111">
        <f t="shared" si="16"/>
        <v>0</v>
      </c>
    </row>
    <row r="68" spans="2:24">
      <c r="B68" s="123">
        <f t="shared" si="12"/>
        <v>47331</v>
      </c>
      <c r="C68" s="123">
        <f t="shared" si="13"/>
        <v>47361</v>
      </c>
      <c r="D68" s="53">
        <f>IFERROR(IF(ROUND(D67,0)&lt;=0,"-",IFERROR(IF(U68="-","-",IFERROR(IF(T68=EOMONTH(T68,-1)+1,SUMIFS($I$17:I67,T$17:T67,"&lt;="&amp;U67,T$17:T67,"&gt;"&amp;EOMONTH(U67,-1)),-E67-F67),0))+D67,0))+X67-X66,0)</f>
        <v>44749.865281421713</v>
      </c>
      <c r="E68" s="53">
        <f>ROUND(($C$5-SUM($E$16:E67))*P68,2)</f>
        <v>0</v>
      </c>
      <c r="F68" s="53">
        <f>IF(Q68=1,SUM($I$16:$I68)-SUM($F$15:F66),IF((IF(E68&gt;0,SUM($I$16:$I68),0))-SUM($F$15:F66)&lt;0,0,(IF(E68&gt;0,SUM($I$16:$I68),0))-SUM($F$15:F66)))</f>
        <v>0</v>
      </c>
      <c r="G68" s="53">
        <f t="shared" si="6"/>
        <v>0</v>
      </c>
      <c r="H68" s="68">
        <f t="shared" si="2"/>
        <v>31</v>
      </c>
      <c r="I68" s="19">
        <f t="shared" si="14"/>
        <v>203.33603169654228</v>
      </c>
      <c r="J68" s="60">
        <f t="shared" si="7"/>
        <v>0</v>
      </c>
      <c r="K68" s="73">
        <f t="shared" si="15"/>
        <v>1</v>
      </c>
      <c r="L68" s="35" cm="1">
        <f t="array" ref="L68">IFERROR(INDEX(Rates!$G$5:$G$117,MATCH(1, (Rates!$C$5:$C$117&lt;=$C68)*(Rates!$D$5:$D$117&gt;=$B68), 0)), 0)</f>
        <v>1.4657534246575345E-2</v>
      </c>
      <c r="M68" s="36" t="str">
        <f t="shared" si="11"/>
        <v>August 31</v>
      </c>
      <c r="N68" s="37">
        <f t="shared" si="8"/>
        <v>0</v>
      </c>
      <c r="O68" s="38">
        <f>IF(IF($C$8="Yes",IF(N68&gt;1,COUNTIF($N$17:N68,$G$12),0)-1,IF(N68&gt;1,COUNTIF($N$17:N68,$G$12),0))&lt;0,0,IF($C$8="Yes",IF(N68&gt;1,COUNTIF($N$17:N68,$G$12),0)-1,IF(N68&gt;1,COUNTIF($N$17:N68,$G$12),0)))</f>
        <v>0</v>
      </c>
      <c r="P68" s="39">
        <f>IFERROR(INDEX(Rates!$P$4:$U$13,MATCH($C$7,Rates!$O$4:$O$13,0),MATCH(O68,Rates!$P$2:$U$2,0)),0)</f>
        <v>0</v>
      </c>
      <c r="Q68" s="50">
        <f t="shared" si="9"/>
        <v>0</v>
      </c>
      <c r="R68" s="32"/>
      <c r="S68" s="32"/>
      <c r="T68" s="59">
        <v>47331</v>
      </c>
      <c r="U68" s="57">
        <v>47361</v>
      </c>
      <c r="V68" s="51"/>
      <c r="W68" s="110">
        <f t="shared" si="10"/>
        <v>2029</v>
      </c>
      <c r="X68" s="111">
        <f t="shared" si="16"/>
        <v>0</v>
      </c>
    </row>
    <row r="69" spans="2:24">
      <c r="B69" s="123">
        <f t="shared" si="12"/>
        <v>47362</v>
      </c>
      <c r="C69" s="123">
        <f t="shared" si="13"/>
        <v>47391</v>
      </c>
      <c r="D69" s="53">
        <f>IFERROR(IF(ROUND(D68,0)&lt;=0,"-",IFERROR(IF(U69="-","-",IFERROR(IF(T69=EOMONTH(T69,-1)+1,SUMIFS($I$17:I68,T$17:T68,"&lt;="&amp;U68,T$17:T68,"&gt;"&amp;EOMONTH(U68,-1)),-E68-F68),0))+D68,0))+X68-X67,0)</f>
        <v>44953.201313118254</v>
      </c>
      <c r="E69" s="53">
        <f>ROUND(($C$5-SUM($E$16:E68))*P69,2)</f>
        <v>0</v>
      </c>
      <c r="F69" s="53">
        <f>IF(Q69=1,SUM($I$16:$I69)-SUM($F$15:F67),IF((IF(E69&gt;0,SUM($I$16:$I69),0))-SUM($F$15:F67)&lt;0,0,(IF(E69&gt;0,SUM($I$16:$I69),0))-SUM($F$15:F67)))</f>
        <v>0</v>
      </c>
      <c r="G69" s="53">
        <f t="shared" si="6"/>
        <v>0</v>
      </c>
      <c r="H69" s="68">
        <f t="shared" si="2"/>
        <v>30</v>
      </c>
      <c r="I69" s="19">
        <f t="shared" si="14"/>
        <v>197.67092632206797</v>
      </c>
      <c r="J69" s="60">
        <f t="shared" si="7"/>
        <v>0</v>
      </c>
      <c r="K69" s="73">
        <f t="shared" si="15"/>
        <v>1</v>
      </c>
      <c r="L69" s="35" cm="1">
        <f t="array" ref="L69">IFERROR(INDEX(Rates!$G$5:$G$117,MATCH(1, (Rates!$C$5:$C$117&lt;=$C69)*(Rates!$D$5:$D$117&gt;=$B69), 0)), 0)</f>
        <v>1.4657534246575345E-2</v>
      </c>
      <c r="M69" s="36" t="str">
        <f t="shared" si="11"/>
        <v>September 30</v>
      </c>
      <c r="N69" s="37">
        <f t="shared" si="8"/>
        <v>0</v>
      </c>
      <c r="O69" s="38">
        <f>IF(IF($C$8="Yes",IF(N69&gt;1,COUNTIF($N$17:N69,$G$12),0)-1,IF(N69&gt;1,COUNTIF($N$17:N69,$G$12),0))&lt;0,0,IF($C$8="Yes",IF(N69&gt;1,COUNTIF($N$17:N69,$G$12),0)-1,IF(N69&gt;1,COUNTIF($N$17:N69,$G$12),0)))</f>
        <v>0</v>
      </c>
      <c r="P69" s="39">
        <f>IFERROR(INDEX(Rates!$P$4:$U$13,MATCH($C$7,Rates!$O$4:$O$13,0),MATCH(O69,Rates!$P$2:$U$2,0)),0)</f>
        <v>0</v>
      </c>
      <c r="Q69" s="50">
        <f t="shared" si="9"/>
        <v>0</v>
      </c>
      <c r="R69" s="32"/>
      <c r="S69" s="32"/>
      <c r="T69" s="59">
        <v>47362</v>
      </c>
      <c r="U69" s="57">
        <v>47391</v>
      </c>
      <c r="V69" s="51"/>
      <c r="W69" s="110">
        <f t="shared" si="10"/>
        <v>2029</v>
      </c>
      <c r="X69" s="111">
        <f t="shared" si="16"/>
        <v>0</v>
      </c>
    </row>
    <row r="70" spans="2:24">
      <c r="B70" s="123">
        <f t="shared" si="12"/>
        <v>47392</v>
      </c>
      <c r="C70" s="123">
        <f t="shared" si="13"/>
        <v>47422</v>
      </c>
      <c r="D70" s="53">
        <f>IFERROR(IF(ROUND(D69,0)&lt;=0,"-",IFERROR(IF(U70="-","-",IFERROR(IF(T70=EOMONTH(T70,-1)+1,SUMIFS($I$17:I69,T$17:T69,"&lt;="&amp;U69,T$17:T69,"&gt;"&amp;EOMONTH(U69,-1)),-E69-F69),0))+D69,0))+X69-X68,0)</f>
        <v>45150.872239440323</v>
      </c>
      <c r="E70" s="53">
        <f>ROUND(($C$5-SUM($E$16:E69))*P70,2)</f>
        <v>0</v>
      </c>
      <c r="F70" s="53">
        <f>IF(Q70=1,SUM($I$16:$I70)-SUM($F$15:F68),IF((IF(E70&gt;0,SUM($I$16:$I70),0))-SUM($F$15:F68)&lt;0,0,(IF(E70&gt;0,SUM($I$16:$I70),0))-SUM($F$15:F68)))</f>
        <v>0</v>
      </c>
      <c r="G70" s="53">
        <f t="shared" si="6"/>
        <v>0</v>
      </c>
      <c r="H70" s="68">
        <f t="shared" si="2"/>
        <v>31</v>
      </c>
      <c r="I70" s="19">
        <f t="shared" si="14"/>
        <v>205.15814139482683</v>
      </c>
      <c r="J70" s="60">
        <f t="shared" si="7"/>
        <v>0</v>
      </c>
      <c r="K70" s="73">
        <f t="shared" si="15"/>
        <v>1</v>
      </c>
      <c r="L70" s="35" cm="1">
        <f t="array" ref="L70">IFERROR(INDEX(Rates!$G$5:$G$117,MATCH(1, (Rates!$C$5:$C$117&lt;=$C70)*(Rates!$D$5:$D$117&gt;=$B70), 0)), 0)</f>
        <v>1.4657534246575345E-2</v>
      </c>
      <c r="M70" s="36" t="str">
        <f t="shared" si="11"/>
        <v>October 31</v>
      </c>
      <c r="N70" s="37">
        <f t="shared" si="8"/>
        <v>0</v>
      </c>
      <c r="O70" s="38">
        <f>IF(IF($C$8="Yes",IF(N70&gt;1,COUNTIF($N$17:N70,$G$12),0)-1,IF(N70&gt;1,COUNTIF($N$17:N70,$G$12),0))&lt;0,0,IF($C$8="Yes",IF(N70&gt;1,COUNTIF($N$17:N70,$G$12),0)-1,IF(N70&gt;1,COUNTIF($N$17:N70,$G$12),0)))</f>
        <v>0</v>
      </c>
      <c r="P70" s="39">
        <f>IFERROR(INDEX(Rates!$P$4:$U$13,MATCH($C$7,Rates!$O$4:$O$13,0),MATCH(O70,Rates!$P$2:$U$2,0)),0)</f>
        <v>0</v>
      </c>
      <c r="Q70" s="50">
        <f t="shared" si="9"/>
        <v>0</v>
      </c>
      <c r="R70" s="32"/>
      <c r="S70" s="32"/>
      <c r="T70" s="59">
        <v>47392</v>
      </c>
      <c r="U70" s="57">
        <v>47422</v>
      </c>
      <c r="V70" s="51"/>
      <c r="W70" s="110">
        <f t="shared" si="10"/>
        <v>2029</v>
      </c>
      <c r="X70" s="111">
        <f t="shared" si="16"/>
        <v>0</v>
      </c>
    </row>
    <row r="71" spans="2:24">
      <c r="B71" s="123">
        <f t="shared" si="12"/>
        <v>47423</v>
      </c>
      <c r="C71" s="123">
        <f t="shared" si="13"/>
        <v>47452</v>
      </c>
      <c r="D71" s="53">
        <f>IFERROR(IF(ROUND(D70,0)&lt;=0,"-",IFERROR(IF(U71="-","-",IFERROR(IF(T71=EOMONTH(T71,-1)+1,SUMIFS($I$17:I70,T$17:T70,"&lt;="&amp;U70,T$17:T70,"&gt;"&amp;EOMONTH(U70,-1)),-E70-F70),0))+D70,0))+X70-X69,0)</f>
        <v>45356.030380835153</v>
      </c>
      <c r="E71" s="53">
        <f>ROUND(($C$5-SUM($E$16:E70))*P71,2)</f>
        <v>0</v>
      </c>
      <c r="F71" s="53">
        <f>IF(Q71=1,SUM($I$16:$I71)-SUM($F$15:F69),IF((IF(E71&gt;0,SUM($I$16:$I71),0))-SUM($F$15:F69)&lt;0,0,(IF(E71&gt;0,SUM($I$16:$I71),0))-SUM($F$15:F69)))</f>
        <v>0</v>
      </c>
      <c r="G71" s="53">
        <f t="shared" si="6"/>
        <v>0</v>
      </c>
      <c r="H71" s="68">
        <f t="shared" si="2"/>
        <v>30</v>
      </c>
      <c r="I71" s="19">
        <f t="shared" si="14"/>
        <v>199.4422705787409</v>
      </c>
      <c r="J71" s="60">
        <f t="shared" si="7"/>
        <v>0</v>
      </c>
      <c r="K71" s="73">
        <f t="shared" si="15"/>
        <v>1</v>
      </c>
      <c r="L71" s="35" cm="1">
        <f t="array" ref="L71">IFERROR(INDEX(Rates!$G$5:$G$117,MATCH(1, (Rates!$C$5:$C$117&lt;=$C71)*(Rates!$D$5:$D$117&gt;=$B71), 0)), 0)</f>
        <v>1.4657534246575345E-2</v>
      </c>
      <c r="M71" s="36" t="str">
        <f t="shared" si="11"/>
        <v>November 30</v>
      </c>
      <c r="N71" s="37">
        <f t="shared" si="8"/>
        <v>0</v>
      </c>
      <c r="O71" s="38">
        <f>IF(IF($C$8="Yes",IF(N71&gt;1,COUNTIF($N$17:N71,$G$12),0)-1,IF(N71&gt;1,COUNTIF($N$17:N71,$G$12),0))&lt;0,0,IF($C$8="Yes",IF(N71&gt;1,COUNTIF($N$17:N71,$G$12),0)-1,IF(N71&gt;1,COUNTIF($N$17:N71,$G$12),0)))</f>
        <v>0</v>
      </c>
      <c r="P71" s="39">
        <f>IFERROR(INDEX(Rates!$P$4:$U$13,MATCH($C$7,Rates!$O$4:$O$13,0),MATCH(O71,Rates!$P$2:$U$2,0)),0)</f>
        <v>0</v>
      </c>
      <c r="Q71" s="50">
        <f t="shared" si="9"/>
        <v>0</v>
      </c>
      <c r="R71" s="32"/>
      <c r="S71" s="32"/>
      <c r="T71" s="59">
        <v>47423</v>
      </c>
      <c r="U71" s="57">
        <v>47452</v>
      </c>
      <c r="V71" s="51"/>
      <c r="W71" s="110">
        <f t="shared" si="10"/>
        <v>2029</v>
      </c>
      <c r="X71" s="111">
        <f t="shared" si="16"/>
        <v>0</v>
      </c>
    </row>
    <row r="72" spans="2:24">
      <c r="B72" s="123">
        <f t="shared" si="12"/>
        <v>47453</v>
      </c>
      <c r="C72" s="123">
        <f t="shared" si="13"/>
        <v>47467</v>
      </c>
      <c r="D72" s="53">
        <f>IFERROR(IF(ROUND(D71,0)&lt;=0,"-",IFERROR(IF(U72="-","-",IFERROR(IF(T72=EOMONTH(T72,-1)+1,SUMIFS($I$17:I71,T$17:T71,"&lt;="&amp;U71,T$17:T71,"&gt;"&amp;EOMONTH(U71,-1)),-E71-F71),0))+D71,0))+X71-X70,0)</f>
        <v>45555.472651413897</v>
      </c>
      <c r="E72" s="53">
        <f>ROUND(($C$5-SUM($E$16:E71))*P72,2)</f>
        <v>21641.23</v>
      </c>
      <c r="F72" s="53">
        <f>IF(Q72=1,SUM($I$16:$I72)-SUM($F$15:F70),IF((IF(E72&gt;0,SUM($I$16:$I72),0))-SUM($F$15:F70)&lt;0,0,(IF(E72&gt;0,SUM($I$16:$I72),0))-SUM($F$15:F70)))</f>
        <v>2373.1822864899586</v>
      </c>
      <c r="G72" s="53">
        <f t="shared" si="6"/>
        <v>24014.412286489958</v>
      </c>
      <c r="H72" s="68">
        <f t="shared" si="2"/>
        <v>15</v>
      </c>
      <c r="I72" s="19">
        <f t="shared" si="14"/>
        <v>100.15963507605386</v>
      </c>
      <c r="J72" s="60">
        <f t="shared" si="7"/>
        <v>0.5</v>
      </c>
      <c r="K72" s="73">
        <f t="shared" si="15"/>
        <v>1</v>
      </c>
      <c r="L72" s="35" cm="1">
        <f t="array" ref="L72">IFERROR(INDEX(Rates!$G$5:$G$117,MATCH(1, (Rates!$C$5:$C$117&lt;=$C72)*(Rates!$D$5:$D$117&gt;=$B72), 0)), 0)</f>
        <v>1.4657534246575345E-2</v>
      </c>
      <c r="M72" s="36" t="str">
        <f t="shared" si="11"/>
        <v>December 15</v>
      </c>
      <c r="N72" s="37" t="str">
        <f t="shared" si="8"/>
        <v>December 15</v>
      </c>
      <c r="O72" s="38">
        <f>IF(IF($C$8="Yes",IF(N72&gt;1,COUNTIF($N$17:N72,$G$12),0)-1,IF(N72&gt;1,COUNTIF($N$17:N72,$G$12),0))&lt;0,0,IF($C$8="Yes",IF(N72&gt;1,COUNTIF($N$17:N72,$G$12),0)-1,IF(N72&gt;1,COUNTIF($N$17:N72,$G$12),0)))</f>
        <v>4</v>
      </c>
      <c r="P72" s="39">
        <f>IFERROR(INDEX(Rates!$P$4:$U$13,MATCH($C$7,Rates!$O$4:$O$13,0),MATCH(O72,Rates!$P$2:$U$2,0)),0)</f>
        <v>0.5</v>
      </c>
      <c r="Q72" s="50">
        <f t="shared" si="9"/>
        <v>0</v>
      </c>
      <c r="R72" s="32"/>
      <c r="S72" s="32"/>
      <c r="T72" s="57">
        <v>47453</v>
      </c>
      <c r="U72" s="57">
        <v>47467</v>
      </c>
      <c r="V72" s="51"/>
      <c r="W72" s="110">
        <f t="shared" si="10"/>
        <v>2029</v>
      </c>
      <c r="X72" s="111">
        <f t="shared" si="16"/>
        <v>100.15963507605386</v>
      </c>
    </row>
    <row r="73" spans="2:24">
      <c r="B73" s="123">
        <f t="shared" si="12"/>
        <v>47468</v>
      </c>
      <c r="C73" s="123">
        <f t="shared" si="13"/>
        <v>47483</v>
      </c>
      <c r="D73" s="53">
        <f>IFERROR(IF(ROUND(D72,0)&lt;=0,"-",IFERROR(IF(U73="-","-",IFERROR(IF(T73=EOMONTH(T73,-1)+1,SUMIFS($I$17:I72,T$17:T72,"&lt;="&amp;U72,T$17:T72,"&gt;"&amp;EOMONTH(U72,-1)),-E72-F72),0))+D72,0))+X72-X71,0)</f>
        <v>21641.219999999994</v>
      </c>
      <c r="E73" s="53">
        <f>ROUND(($C$5-SUM($E$16:E72))*P73,2)</f>
        <v>0</v>
      </c>
      <c r="F73" s="53">
        <f>IF(Q73=1,SUM($I$16:$I73)-SUM($F$15:F71),IF((IF(E73&gt;0,SUM($I$16:$I73),0))-SUM($F$15:F71)&lt;0,0,(IF(E73&gt;0,SUM($I$16:$I73),0))-SUM($F$15:F71)))</f>
        <v>0</v>
      </c>
      <c r="G73" s="53">
        <f t="shared" si="6"/>
        <v>0</v>
      </c>
      <c r="H73" s="68">
        <f t="shared" si="2"/>
        <v>16</v>
      </c>
      <c r="I73" s="19">
        <f t="shared" si="14"/>
        <v>50.753107726027395</v>
      </c>
      <c r="J73" s="60">
        <f t="shared" si="7"/>
        <v>0</v>
      </c>
      <c r="K73" s="73">
        <f t="shared" si="15"/>
        <v>1</v>
      </c>
      <c r="L73" s="35" cm="1">
        <f t="array" ref="L73">IFERROR(INDEX(Rates!$G$5:$G$117,MATCH(1, (Rates!$C$5:$C$117&lt;=$C73)*(Rates!$D$5:$D$117&gt;=$B73), 0)), 0)</f>
        <v>1.4657534246575345E-2</v>
      </c>
      <c r="M73" s="36" t="str">
        <f t="shared" si="11"/>
        <v>December 31</v>
      </c>
      <c r="N73" s="37">
        <f t="shared" si="8"/>
        <v>0</v>
      </c>
      <c r="O73" s="38">
        <f>IF(IF($C$8="Yes",IF(N73&gt;1,COUNTIF($N$17:N73,$G$12),0)-1,IF(N73&gt;1,COUNTIF($N$17:N73,$G$12),0))&lt;0,0,IF($C$8="Yes",IF(N73&gt;1,COUNTIF($N$17:N73,$G$12),0)-1,IF(N73&gt;1,COUNTIF($N$17:N73,$G$12),0)))</f>
        <v>0</v>
      </c>
      <c r="P73" s="39">
        <f>IFERROR(INDEX(Rates!$P$4:$U$13,MATCH($C$7,Rates!$O$4:$O$13,0),MATCH(O73,Rates!$P$2:$U$2,0)),0)</f>
        <v>0</v>
      </c>
      <c r="Q73" s="50">
        <f t="shared" si="9"/>
        <v>0</v>
      </c>
      <c r="R73" s="32"/>
      <c r="S73" s="32"/>
      <c r="T73" s="57">
        <v>47468</v>
      </c>
      <c r="U73" s="57">
        <v>47483</v>
      </c>
      <c r="V73" s="51"/>
      <c r="W73" s="110">
        <f t="shared" si="10"/>
        <v>2029</v>
      </c>
      <c r="X73" s="111">
        <f t="shared" si="16"/>
        <v>0</v>
      </c>
    </row>
    <row r="74" spans="2:24">
      <c r="B74" s="123">
        <f t="shared" si="12"/>
        <v>47484</v>
      </c>
      <c r="C74" s="123">
        <f t="shared" si="13"/>
        <v>47514</v>
      </c>
      <c r="D74" s="53">
        <f>IFERROR(IF(ROUND(D73,0)&lt;=0,"-",IFERROR(IF(U74="-","-",IFERROR(IF(T74=EOMONTH(T74,-1)+1,SUMIFS($I$17:I73,T$17:T73,"&lt;="&amp;U73,T$17:T73,"&gt;"&amp;EOMONTH(U73,-1)),-E73-F73),0))+D73,0))+X73-X72,0)</f>
        <v>21691.973107726018</v>
      </c>
      <c r="E74" s="53">
        <f>ROUND(($C$5-SUM($E$16:E73))*P74,2)</f>
        <v>0</v>
      </c>
      <c r="F74" s="53">
        <f>IF(Q74=1,SUM($I$16:$I74)-SUM($F$15:F72),IF((IF(E74&gt;0,SUM($I$16:$I74),0))-SUM($F$15:F72)&lt;0,0,(IF(E74&gt;0,SUM($I$16:$I74),0))-SUM($F$15:F72)))</f>
        <v>0</v>
      </c>
      <c r="G74" s="53">
        <f t="shared" si="6"/>
        <v>0</v>
      </c>
      <c r="H74" s="68">
        <f t="shared" si="2"/>
        <v>31</v>
      </c>
      <c r="I74" s="19">
        <f t="shared" si="14"/>
        <v>98.564759997708521</v>
      </c>
      <c r="J74" s="60">
        <f t="shared" si="7"/>
        <v>0</v>
      </c>
      <c r="K74" s="73">
        <f t="shared" si="15"/>
        <v>1</v>
      </c>
      <c r="L74" s="35" cm="1">
        <f t="array" ref="L74">IFERROR(INDEX(Rates!$G$5:$G$117,MATCH(1, (Rates!$C$5:$C$117&lt;=$C74)*(Rates!$D$5:$D$117&gt;=$B74), 0)), 0)</f>
        <v>1.4657534246575345E-2</v>
      </c>
      <c r="M74" s="36" t="str">
        <f t="shared" si="11"/>
        <v>January 31</v>
      </c>
      <c r="N74" s="37">
        <f t="shared" si="8"/>
        <v>0</v>
      </c>
      <c r="O74" s="38">
        <f>IF(IF($C$8="Yes",IF(N74&gt;1,COUNTIF($N$17:N74,$G$12),0)-1,IF(N74&gt;1,COUNTIF($N$17:N74,$G$12),0))&lt;0,0,IF($C$8="Yes",IF(N74&gt;1,COUNTIF($N$17:N74,$G$12),0)-1,IF(N74&gt;1,COUNTIF($N$17:N74,$G$12),0)))</f>
        <v>0</v>
      </c>
      <c r="P74" s="39">
        <f>IFERROR(INDEX(Rates!$P$4:$U$13,MATCH($C$7,Rates!$O$4:$O$13,0),MATCH(O74,Rates!$P$2:$U$2,0)),0)</f>
        <v>0</v>
      </c>
      <c r="Q74" s="50">
        <f t="shared" si="9"/>
        <v>0</v>
      </c>
      <c r="R74" s="32"/>
      <c r="S74" s="32"/>
      <c r="T74" s="57">
        <v>47484</v>
      </c>
      <c r="U74" s="57">
        <v>47514</v>
      </c>
      <c r="V74" s="51"/>
      <c r="W74" s="110">
        <f t="shared" si="10"/>
        <v>2030</v>
      </c>
      <c r="X74" s="111">
        <f t="shared" si="16"/>
        <v>0</v>
      </c>
    </row>
    <row r="75" spans="2:24">
      <c r="B75" s="123">
        <f t="shared" si="12"/>
        <v>47515</v>
      </c>
      <c r="C75" s="123">
        <f t="shared" si="13"/>
        <v>47542</v>
      </c>
      <c r="D75" s="53">
        <f>IFERROR(IF(ROUND(D74,0)&lt;=0,"-",IFERROR(IF(U75="-","-",IFERROR(IF(T75=EOMONTH(T75,-1)+1,SUMIFS($I$17:I74,T$17:T74,"&lt;="&amp;U74,T$17:T74,"&gt;"&amp;EOMONTH(U74,-1)),-E74-F74),0))+D74,0))+X74-X73,0)</f>
        <v>21790.537867723728</v>
      </c>
      <c r="E75" s="53">
        <f>ROUND(($C$5-SUM($E$16:E74))*P75,2)</f>
        <v>0</v>
      </c>
      <c r="F75" s="53">
        <f>IF(Q75=1,SUM($I$16:$I75)-SUM($F$15:F73),IF((IF(E75&gt;0,SUM($I$16:$I75),0))-SUM($F$15:F73)&lt;0,0,(IF(E75&gt;0,SUM($I$16:$I75),0))-SUM($F$15:F73)))</f>
        <v>0</v>
      </c>
      <c r="G75" s="53">
        <f t="shared" si="6"/>
        <v>0</v>
      </c>
      <c r="H75" s="68">
        <f t="shared" si="2"/>
        <v>28</v>
      </c>
      <c r="I75" s="19">
        <f t="shared" si="14"/>
        <v>89.430755413288082</v>
      </c>
      <c r="J75" s="60">
        <f t="shared" si="7"/>
        <v>0</v>
      </c>
      <c r="K75" s="73">
        <f t="shared" si="15"/>
        <v>1</v>
      </c>
      <c r="L75" s="35" cm="1">
        <f t="array" ref="L75">IFERROR(INDEX(Rates!$G$5:$G$117,MATCH(1, (Rates!$C$5:$C$117&lt;=$C75)*(Rates!$D$5:$D$117&gt;=$B75), 0)), 0)</f>
        <v>1.4657534246575345E-2</v>
      </c>
      <c r="M75" s="36" t="str">
        <f t="shared" si="11"/>
        <v>February 28</v>
      </c>
      <c r="N75" s="37">
        <f t="shared" si="8"/>
        <v>0</v>
      </c>
      <c r="O75" s="38">
        <f>IF(IF($C$8="Yes",IF(N75&gt;1,COUNTIF($N$17:N75,$G$12),0)-1,IF(N75&gt;1,COUNTIF($N$17:N75,$G$12),0))&lt;0,0,IF($C$8="Yes",IF(N75&gt;1,COUNTIF($N$17:N75,$G$12),0)-1,IF(N75&gt;1,COUNTIF($N$17:N75,$G$12),0)))</f>
        <v>0</v>
      </c>
      <c r="P75" s="39">
        <f>IFERROR(INDEX(Rates!$P$4:$U$13,MATCH($C$7,Rates!$O$4:$O$13,0),MATCH(O75,Rates!$P$2:$U$2,0)),0)</f>
        <v>0</v>
      </c>
      <c r="Q75" s="50">
        <f t="shared" si="9"/>
        <v>0</v>
      </c>
      <c r="R75" s="32"/>
      <c r="S75" s="32"/>
      <c r="T75" s="57">
        <v>47515</v>
      </c>
      <c r="U75" s="57">
        <v>47542</v>
      </c>
      <c r="V75" s="51"/>
      <c r="W75" s="110">
        <f t="shared" si="10"/>
        <v>2030</v>
      </c>
      <c r="X75" s="111">
        <f t="shared" si="16"/>
        <v>0</v>
      </c>
    </row>
    <row r="76" spans="2:24">
      <c r="B76" s="123">
        <f t="shared" si="12"/>
        <v>47543</v>
      </c>
      <c r="C76" s="123">
        <f t="shared" si="13"/>
        <v>47573</v>
      </c>
      <c r="D76" s="53">
        <f>IFERROR(IF(ROUND(D75,0)&lt;=0,"-",IFERROR(IF(U76="-","-",IFERROR(IF(T76=EOMONTH(T76,-1)+1,SUMIFS($I$17:I75,T$17:T75,"&lt;="&amp;U75,T$17:T75,"&gt;"&amp;EOMONTH(U75,-1)),-E75-F75),0))+D75,0))+X75-X74,0)</f>
        <v>21879.968623137014</v>
      </c>
      <c r="E76" s="53">
        <f>ROUND(($C$5-SUM($E$16:E75))*P76,2)</f>
        <v>0</v>
      </c>
      <c r="F76" s="53">
        <f>IF(Q76=1,SUM($I$16:$I76)-SUM($F$15:F74),IF((IF(E76&gt;0,SUM($I$16:$I76),0))-SUM($F$15:F74)&lt;0,0,(IF(E76&gt;0,SUM($I$16:$I76),0))-SUM($F$15:F74)))</f>
        <v>0</v>
      </c>
      <c r="G76" s="53">
        <f t="shared" si="6"/>
        <v>0</v>
      </c>
      <c r="H76" s="68">
        <f t="shared" si="2"/>
        <v>31</v>
      </c>
      <c r="I76" s="19">
        <f t="shared" si="14"/>
        <v>99.418980716363677</v>
      </c>
      <c r="J76" s="60">
        <f t="shared" si="7"/>
        <v>0</v>
      </c>
      <c r="K76" s="73">
        <f t="shared" si="15"/>
        <v>1</v>
      </c>
      <c r="L76" s="35" cm="1">
        <f t="array" ref="L76">IFERROR(INDEX(Rates!$G$5:$G$117,MATCH(1, (Rates!$C$5:$C$117&lt;=$C76)*(Rates!$D$5:$D$117&gt;=$B76), 0)), 0)</f>
        <v>1.4657534246575345E-2</v>
      </c>
      <c r="M76" s="36" t="str">
        <f t="shared" si="11"/>
        <v>March 31</v>
      </c>
      <c r="N76" s="37">
        <f t="shared" si="8"/>
        <v>0</v>
      </c>
      <c r="O76" s="38">
        <f>IF(IF($C$8="Yes",IF(N76&gt;1,COUNTIF($N$17:N76,$G$12),0)-1,IF(N76&gt;1,COUNTIF($N$17:N76,$G$12),0))&lt;0,0,IF($C$8="Yes",IF(N76&gt;1,COUNTIF($N$17:N76,$G$12),0)-1,IF(N76&gt;1,COUNTIF($N$17:N76,$G$12),0)))</f>
        <v>0</v>
      </c>
      <c r="P76" s="39">
        <f>IFERROR(INDEX(Rates!$P$4:$U$13,MATCH($C$7,Rates!$O$4:$O$13,0),MATCH(O76,Rates!$P$2:$U$2,0)),0)</f>
        <v>0</v>
      </c>
      <c r="Q76" s="50">
        <f t="shared" si="9"/>
        <v>0</v>
      </c>
      <c r="R76" s="32"/>
      <c r="S76" s="32"/>
      <c r="T76" s="57">
        <v>47543</v>
      </c>
      <c r="U76" s="57">
        <v>47573</v>
      </c>
      <c r="V76" s="51"/>
      <c r="W76" s="110">
        <f t="shared" si="10"/>
        <v>2030</v>
      </c>
      <c r="X76" s="111">
        <f t="shared" si="16"/>
        <v>0</v>
      </c>
    </row>
    <row r="77" spans="2:24">
      <c r="B77" s="123">
        <f t="shared" si="12"/>
        <v>47574</v>
      </c>
      <c r="C77" s="123">
        <f t="shared" si="13"/>
        <v>47603</v>
      </c>
      <c r="D77" s="53">
        <f>IFERROR(IF(ROUND(D76,0)&lt;=0,"-",IFERROR(IF(U77="-","-",IFERROR(IF(T77=EOMONTH(T77,-1)+1,SUMIFS($I$17:I76,T$17:T76,"&lt;="&amp;U76,T$17:T76,"&gt;"&amp;EOMONTH(U76,-1)),-E76-F76),0))+D76,0))+X76-X75,0)</f>
        <v>21979.387603853378</v>
      </c>
      <c r="E77" s="53">
        <f>ROUND(($C$5-SUM($E$16:E76))*P77,2)</f>
        <v>0</v>
      </c>
      <c r="F77" s="53">
        <f>IF(Q77=1,SUM($I$16:$I77)-SUM($F$15:F75),IF((IF(E77&gt;0,SUM($I$16:$I77),0))-SUM($F$15:F75)&lt;0,0,(IF(E77&gt;0,SUM($I$16:$I77),0))-SUM($F$15:F75)))</f>
        <v>0</v>
      </c>
      <c r="G77" s="53">
        <f t="shared" si="6"/>
        <v>0</v>
      </c>
      <c r="H77" s="68">
        <f t="shared" si="2"/>
        <v>30</v>
      </c>
      <c r="I77" s="19">
        <f t="shared" si="14"/>
        <v>96.649087956670357</v>
      </c>
      <c r="J77" s="60">
        <f t="shared" si="7"/>
        <v>0</v>
      </c>
      <c r="K77" s="73">
        <f t="shared" si="15"/>
        <v>1</v>
      </c>
      <c r="L77" s="35" cm="1">
        <f t="array" ref="L77">IFERROR(INDEX(Rates!$G$5:$G$117,MATCH(1, (Rates!$C$5:$C$117&lt;=$C77)*(Rates!$D$5:$D$117&gt;=$B77), 0)), 0)</f>
        <v>1.4657534246575345E-2</v>
      </c>
      <c r="M77" s="36" t="str">
        <f t="shared" si="11"/>
        <v>April 30</v>
      </c>
      <c r="N77" s="37">
        <f t="shared" si="8"/>
        <v>0</v>
      </c>
      <c r="O77" s="38">
        <f>IF(IF($C$8="Yes",IF(N77&gt;1,COUNTIF($N$17:N77,$G$12),0)-1,IF(N77&gt;1,COUNTIF($N$17:N77,$G$12),0))&lt;0,0,IF($C$8="Yes",IF(N77&gt;1,COUNTIF($N$17:N77,$G$12),0)-1,IF(N77&gt;1,COUNTIF($N$17:N77,$G$12),0)))</f>
        <v>0</v>
      </c>
      <c r="P77" s="39">
        <f>IFERROR(INDEX(Rates!$P$4:$U$13,MATCH($C$7,Rates!$O$4:$O$13,0),MATCH(O77,Rates!$P$2:$U$2,0)),0)</f>
        <v>0</v>
      </c>
      <c r="Q77" s="50">
        <f t="shared" si="9"/>
        <v>0</v>
      </c>
      <c r="R77" s="32"/>
      <c r="S77" s="32"/>
      <c r="T77" s="57">
        <v>47574</v>
      </c>
      <c r="U77" s="57">
        <v>47603</v>
      </c>
      <c r="W77" s="110">
        <f t="shared" si="10"/>
        <v>2030</v>
      </c>
      <c r="X77" s="111">
        <f t="shared" si="16"/>
        <v>0</v>
      </c>
    </row>
    <row r="78" spans="2:24">
      <c r="B78" s="123">
        <f t="shared" si="12"/>
        <v>47604</v>
      </c>
      <c r="C78" s="123">
        <f t="shared" si="13"/>
        <v>47634</v>
      </c>
      <c r="D78" s="53">
        <f>IFERROR(IF(ROUND(D77,0)&lt;=0,"-",IFERROR(IF(U78="-","-",IFERROR(IF(T78=EOMONTH(T78,-1)+1,SUMIFS($I$17:I77,T$17:T77,"&lt;="&amp;U77,T$17:T77,"&gt;"&amp;EOMONTH(U77,-1)),-E77-F77),0))+D77,0))+X77-X76,0)</f>
        <v>22076.036691810048</v>
      </c>
      <c r="E78" s="53">
        <f>ROUND(($C$5-SUM($E$16:E77))*P78,2)</f>
        <v>0</v>
      </c>
      <c r="F78" s="53">
        <f>IF(Q78=1,SUM($I$16:$I78)-SUM($F$15:F76),IF((IF(E78&gt;0,SUM($I$16:$I78),0))-SUM($F$15:F76)&lt;0,0,(IF(E78&gt;0,SUM($I$16:$I78),0))-SUM($F$15:F76)))</f>
        <v>0</v>
      </c>
      <c r="G78" s="53">
        <f t="shared" si="6"/>
        <v>0</v>
      </c>
      <c r="H78" s="68">
        <f t="shared" si="2"/>
        <v>31</v>
      </c>
      <c r="I78" s="19">
        <f t="shared" si="14"/>
        <v>100.30988179004649</v>
      </c>
      <c r="J78" s="60">
        <f t="shared" si="7"/>
        <v>0</v>
      </c>
      <c r="K78" s="73">
        <f t="shared" si="15"/>
        <v>1</v>
      </c>
      <c r="L78" s="35" cm="1">
        <f t="array" ref="L78">IFERROR(INDEX(Rates!$G$5:$G$117,MATCH(1, (Rates!$C$5:$C$117&lt;=$C78)*(Rates!$D$5:$D$117&gt;=$B78), 0)), 0)</f>
        <v>1.4657534246575345E-2</v>
      </c>
      <c r="M78" s="36" t="str">
        <f t="shared" si="11"/>
        <v>May 31</v>
      </c>
      <c r="N78" s="37">
        <f t="shared" si="8"/>
        <v>0</v>
      </c>
      <c r="O78" s="38">
        <f>IF(IF($C$8="Yes",IF(N78&gt;1,COUNTIF($N$17:N78,$G$12),0)-1,IF(N78&gt;1,COUNTIF($N$17:N78,$G$12),0))&lt;0,0,IF($C$8="Yes",IF(N78&gt;1,COUNTIF($N$17:N78,$G$12),0)-1,IF(N78&gt;1,COUNTIF($N$17:N78,$G$12),0)))</f>
        <v>0</v>
      </c>
      <c r="P78" s="39">
        <f>IFERROR(INDEX(Rates!$P$4:$U$13,MATCH($C$7,Rates!$O$4:$O$13,0),MATCH(O78,Rates!$P$2:$U$2,0)),0)</f>
        <v>0</v>
      </c>
      <c r="Q78" s="50">
        <f t="shared" si="9"/>
        <v>0</v>
      </c>
      <c r="R78" s="32"/>
      <c r="S78" s="32"/>
      <c r="T78" s="57">
        <v>47604</v>
      </c>
      <c r="U78" s="57">
        <v>47634</v>
      </c>
      <c r="W78" s="110">
        <f t="shared" si="10"/>
        <v>2030</v>
      </c>
      <c r="X78" s="111">
        <f t="shared" si="16"/>
        <v>0</v>
      </c>
    </row>
    <row r="79" spans="2:24">
      <c r="B79" s="123">
        <f t="shared" si="12"/>
        <v>47635</v>
      </c>
      <c r="C79" s="123">
        <f t="shared" si="13"/>
        <v>47649</v>
      </c>
      <c r="D79" s="53">
        <f>IFERROR(IF(ROUND(D78,0)&lt;=0,"-",IFERROR(IF(U79="-","-",IFERROR(IF(T79=EOMONTH(T79,-1)+1,SUMIFS($I$17:I78,T$17:T78,"&lt;="&amp;U78,T$17:T78,"&gt;"&amp;EOMONTH(U78,-1)),-E78-F78),0))+D78,0))+X78-X77,0)</f>
        <v>22176.346573600094</v>
      </c>
      <c r="E79" s="53">
        <f>ROUND(($C$5-SUM($E$16:E78))*P79,2)</f>
        <v>0</v>
      </c>
      <c r="F79" s="53">
        <f>IF(Q79=1,SUM($I$16:$I79)-SUM($F$15:F77),IF((IF(E79&gt;0,SUM($I$16:$I79),0))-SUM($F$15:F77)&lt;0,0,(IF(E79&gt;0,SUM($I$16:$I79),0))-SUM($F$15:F77)))</f>
        <v>0</v>
      </c>
      <c r="G79" s="53">
        <f t="shared" si="6"/>
        <v>0</v>
      </c>
      <c r="H79" s="68">
        <f t="shared" si="2"/>
        <v>15</v>
      </c>
      <c r="I79" s="19">
        <f t="shared" si="14"/>
        <v>48.757583904970076</v>
      </c>
      <c r="J79" s="60">
        <f t="shared" si="7"/>
        <v>0</v>
      </c>
      <c r="K79" s="73">
        <f t="shared" si="15"/>
        <v>1</v>
      </c>
      <c r="L79" s="35" cm="1">
        <f t="array" ref="L79">IFERROR(INDEX(Rates!$G$5:$G$117,MATCH(1, (Rates!$C$5:$C$117&lt;=$C79)*(Rates!$D$5:$D$117&gt;=$B79), 0)), 0)</f>
        <v>1.4657534246575345E-2</v>
      </c>
      <c r="M79" s="36" t="str">
        <f t="shared" si="11"/>
        <v>June 15</v>
      </c>
      <c r="N79" s="37">
        <f t="shared" si="8"/>
        <v>0</v>
      </c>
      <c r="O79" s="38">
        <f>IF(IF($C$8="Yes",IF(N79&gt;1,COUNTIF($N$17:N79,$G$12),0)-1,IF(N79&gt;1,COUNTIF($N$17:N79,$G$12),0))&lt;0,0,IF($C$8="Yes",IF(N79&gt;1,COUNTIF($N$17:N79,$G$12),0)-1,IF(N79&gt;1,COUNTIF($N$17:N79,$G$12),0)))</f>
        <v>0</v>
      </c>
      <c r="P79" s="39">
        <f>IFERROR(INDEX(Rates!$P$4:$U$13,MATCH($C$7,Rates!$O$4:$O$13,0),MATCH(O79,Rates!$P$2:$U$2,0)),0)</f>
        <v>0</v>
      </c>
      <c r="Q79" s="50">
        <f t="shared" si="9"/>
        <v>0</v>
      </c>
      <c r="R79" s="32"/>
      <c r="S79" s="32"/>
      <c r="T79" s="57">
        <v>47635</v>
      </c>
      <c r="U79" s="57">
        <v>47649</v>
      </c>
      <c r="W79" s="110">
        <f t="shared" si="10"/>
        <v>2030</v>
      </c>
      <c r="X79" s="111">
        <f t="shared" si="16"/>
        <v>0</v>
      </c>
    </row>
    <row r="80" spans="2:24">
      <c r="B80" s="123">
        <f t="shared" si="12"/>
        <v>47650</v>
      </c>
      <c r="C80" s="123">
        <f t="shared" si="13"/>
        <v>47664</v>
      </c>
      <c r="D80" s="53">
        <f>IFERROR(IF(ROUND(D79,0)&lt;=0,"-",IFERROR(IF(U80="-","-",IFERROR(IF(T80=EOMONTH(T80,-1)+1,SUMIFS($I$17:I79,T$17:T79,"&lt;="&amp;U79,T$17:T79,"&gt;"&amp;EOMONTH(U79,-1)),-E79-F79),0))+D79,0))+X79-X78,0)</f>
        <v>22176.346573600094</v>
      </c>
      <c r="E80" s="53">
        <f>ROUND(($C$5-SUM($E$16:E79))*P80,2)</f>
        <v>0</v>
      </c>
      <c r="F80" s="53">
        <f>IF(Q80=1,SUM($I$16:$I80)-SUM($F$15:F78),IF((IF(E80&gt;0,SUM($I$16:$I80),0))-SUM($F$15:F78)&lt;0,0,(IF(E80&gt;0,SUM($I$16:$I80),0))-SUM($F$15:F78)))</f>
        <v>0</v>
      </c>
      <c r="G80" s="53">
        <f t="shared" si="6"/>
        <v>0</v>
      </c>
      <c r="H80" s="68">
        <f t="shared" si="2"/>
        <v>15</v>
      </c>
      <c r="I80" s="19">
        <f t="shared" si="14"/>
        <v>48.757583904970076</v>
      </c>
      <c r="J80" s="60">
        <f t="shared" si="7"/>
        <v>0</v>
      </c>
      <c r="K80" s="73">
        <f t="shared" si="15"/>
        <v>1</v>
      </c>
      <c r="L80" s="35" cm="1">
        <f t="array" ref="L80">IFERROR(INDEX(Rates!$G$5:$G$117,MATCH(1, (Rates!$C$5:$C$117&lt;=$C80)*(Rates!$D$5:$D$117&gt;=$B80), 0)), 0)</f>
        <v>1.4657534246575345E-2</v>
      </c>
      <c r="M80" s="36" t="str">
        <f t="shared" si="11"/>
        <v>June 30</v>
      </c>
      <c r="N80" s="37">
        <f t="shared" si="8"/>
        <v>0</v>
      </c>
      <c r="O80" s="38">
        <f>IF(IF($C$8="Yes",IF(N80&gt;1,COUNTIF($N$17:N80,$G$12),0)-1,IF(N80&gt;1,COUNTIF($N$17:N80,$G$12),0))&lt;0,0,IF($C$8="Yes",IF(N80&gt;1,COUNTIF($N$17:N80,$G$12),0)-1,IF(N80&gt;1,COUNTIF($N$17:N80,$G$12),0)))</f>
        <v>0</v>
      </c>
      <c r="P80" s="39">
        <f>IFERROR(INDEX(Rates!$P$4:$U$13,MATCH($C$7,Rates!$O$4:$O$13,0),MATCH(O80,Rates!$P$2:$U$2,0)),0)</f>
        <v>0</v>
      </c>
      <c r="Q80" s="50">
        <f t="shared" si="9"/>
        <v>0</v>
      </c>
      <c r="R80" s="32"/>
      <c r="S80" s="32"/>
      <c r="T80" s="57">
        <v>47650</v>
      </c>
      <c r="U80" s="57">
        <v>47664</v>
      </c>
      <c r="W80" s="110">
        <f t="shared" si="10"/>
        <v>2030</v>
      </c>
      <c r="X80" s="111">
        <f t="shared" si="16"/>
        <v>0</v>
      </c>
    </row>
    <row r="81" spans="2:24">
      <c r="B81" s="123">
        <f t="shared" ref="B81:B112" si="17">IF(B80="-","-",IF(D81&gt;0,T81,"-"))</f>
        <v>47665</v>
      </c>
      <c r="C81" s="123">
        <f t="shared" ref="C81:C112" si="18">IF(C80="-","-",IF(D81&gt;0,U81,"-"))</f>
        <v>47695</v>
      </c>
      <c r="D81" s="53">
        <f>IFERROR(IF(ROUND(D80,0)&lt;=0,"-",IFERROR(IF(U81="-","-",IFERROR(IF(T81=EOMONTH(T81,-1)+1,SUMIFS($I$17:I80,T$17:T80,"&lt;="&amp;U80,T$17:T80,"&gt;"&amp;EOMONTH(U80,-1)),-E80-F80),0))+D80,0))+X80-X79,0)</f>
        <v>22273.861741410034</v>
      </c>
      <c r="E81" s="53">
        <f>ROUND(($C$5-SUM($E$16:E80))*P81,2)</f>
        <v>0</v>
      </c>
      <c r="F81" s="53">
        <f>IF(Q81=1,SUM($I$16:$I81)-SUM($F$15:F79),IF((IF(E81&gt;0,SUM($I$16:$I81),0))-SUM($F$15:F79)&lt;0,0,(IF(E81&gt;0,SUM($I$16:$I81),0))-SUM($F$15:F79)))</f>
        <v>0</v>
      </c>
      <c r="G81" s="53">
        <f t="shared" si="6"/>
        <v>0</v>
      </c>
      <c r="H81" s="68">
        <f t="shared" ref="H81:H125" si="19">IF(ROUND(D81,0)=0,0,IFERROR(C81-B81+1,0))</f>
        <v>31</v>
      </c>
      <c r="I81" s="19">
        <f t="shared" ref="I81:I112" si="20">IFERROR(L81*H81*D81/100,0)</f>
        <v>101.20876629624259</v>
      </c>
      <c r="J81" s="60">
        <f t="shared" si="7"/>
        <v>0</v>
      </c>
      <c r="K81" s="73">
        <f t="shared" ref="K81:K112" si="21">IF(I81&lt;=0,0,1)</f>
        <v>1</v>
      </c>
      <c r="L81" s="35" cm="1">
        <f t="array" ref="L81">IFERROR(INDEX(Rates!$G$5:$G$117,MATCH(1, (Rates!$C$5:$C$117&lt;=$C81)*(Rates!$D$5:$D$117&gt;=$B81), 0)), 0)</f>
        <v>1.4657534246575345E-2</v>
      </c>
      <c r="M81" s="36" t="str">
        <f t="shared" si="11"/>
        <v>July 31</v>
      </c>
      <c r="N81" s="37">
        <f t="shared" si="8"/>
        <v>0</v>
      </c>
      <c r="O81" s="38">
        <f>IF(IF($C$8="Yes",IF(N81&gt;1,COUNTIF($N$17:N81,$G$12),0)-1,IF(N81&gt;1,COUNTIF($N$17:N81,$G$12),0))&lt;0,0,IF($C$8="Yes",IF(N81&gt;1,COUNTIF($N$17:N81,$G$12),0)-1,IF(N81&gt;1,COUNTIF($N$17:N81,$G$12),0)))</f>
        <v>0</v>
      </c>
      <c r="P81" s="39">
        <f>IFERROR(INDEX(Rates!$P$4:$U$13,MATCH($C$7,Rates!$O$4:$O$13,0),MATCH(O81,Rates!$P$2:$U$2,0)),0)</f>
        <v>0</v>
      </c>
      <c r="Q81" s="50">
        <f t="shared" si="9"/>
        <v>0</v>
      </c>
      <c r="R81" s="32"/>
      <c r="S81" s="32"/>
      <c r="T81" s="57">
        <v>47665</v>
      </c>
      <c r="U81" s="57">
        <v>47695</v>
      </c>
      <c r="W81" s="110">
        <f t="shared" si="10"/>
        <v>2030</v>
      </c>
      <c r="X81" s="111">
        <f t="shared" ref="X81:X97" si="22">IF(G81&gt;0,I81,0)</f>
        <v>0</v>
      </c>
    </row>
    <row r="82" spans="2:24">
      <c r="B82" s="123">
        <f t="shared" si="17"/>
        <v>47696</v>
      </c>
      <c r="C82" s="123">
        <f t="shared" si="18"/>
        <v>47726</v>
      </c>
      <c r="D82" s="53">
        <f>IFERROR(IF(ROUND(D81,0)&lt;=0,"-",IFERROR(IF(U82="-","-",IFERROR(IF(T82=EOMONTH(T82,-1)+1,SUMIFS($I$17:I81,T$17:T81,"&lt;="&amp;U81,T$17:T81,"&gt;"&amp;EOMONTH(U81,-1)),-E81-F81),0))+D81,0))+X81-X80,0)</f>
        <v>22375.070507706278</v>
      </c>
      <c r="E82" s="53">
        <f>ROUND(($C$5-SUM($E$16:E81))*P82,2)</f>
        <v>0</v>
      </c>
      <c r="F82" s="53">
        <f>IF(Q82=1,SUM($I$16:$I82)-SUM($F$15:F80),IF((IF(E82&gt;0,SUM($I$16:$I82),0))-SUM($F$15:F80)&lt;0,0,(IF(E82&gt;0,SUM($I$16:$I82),0))-SUM($F$15:F80)))</f>
        <v>0</v>
      </c>
      <c r="G82" s="53">
        <f t="shared" ref="G82:G97" si="23">E82+F82</f>
        <v>0</v>
      </c>
      <c r="H82" s="68">
        <f t="shared" si="19"/>
        <v>31</v>
      </c>
      <c r="I82" s="19">
        <f t="shared" si="20"/>
        <v>101.66864229323527</v>
      </c>
      <c r="J82" s="60">
        <f t="shared" ref="J82:J97" si="24">P82</f>
        <v>0</v>
      </c>
      <c r="K82" s="73">
        <f t="shared" si="21"/>
        <v>1</v>
      </c>
      <c r="L82" s="35" cm="1">
        <f t="array" ref="L82">IFERROR(INDEX(Rates!$G$5:$G$117,MATCH(1, (Rates!$C$5:$C$117&lt;=$C82)*(Rates!$D$5:$D$117&gt;=$B82), 0)), 0)</f>
        <v>1.4657534246575345E-2</v>
      </c>
      <c r="M82" s="36" t="str">
        <f t="shared" si="11"/>
        <v>August 31</v>
      </c>
      <c r="N82" s="37">
        <f t="shared" ref="N82:N97" si="25">IF(M82=$G$12,M82,0)</f>
        <v>0</v>
      </c>
      <c r="O82" s="38">
        <f>IF(IF($C$8="Yes",IF(N82&gt;1,COUNTIF($N$17:N82,$G$12),0)-1,IF(N82&gt;1,COUNTIF($N$17:N82,$G$12),0))&lt;0,0,IF($C$8="Yes",IF(N82&gt;1,COUNTIF($N$17:N82,$G$12),0)-1,IF(N82&gt;1,COUNTIF($N$17:N82,$G$12),0)))</f>
        <v>0</v>
      </c>
      <c r="P82" s="39">
        <f>IFERROR(INDEX(Rates!$P$4:$U$13,MATCH($C$7,Rates!$O$4:$O$13,0),MATCH(O82,Rates!$P$2:$U$2,0)),0)</f>
        <v>0</v>
      </c>
      <c r="Q82" s="50">
        <f t="shared" ref="Q82:Q97" si="26">IF(AND(M82=N82,O82=0),1,0)</f>
        <v>0</v>
      </c>
      <c r="R82" s="32"/>
      <c r="S82" s="32"/>
      <c r="T82" s="57">
        <v>47696</v>
      </c>
      <c r="U82" s="57">
        <v>47726</v>
      </c>
      <c r="W82" s="110">
        <f t="shared" ref="W82:W159" si="27">IF(OR(U82="-", U82=0), "-", YEAR(U82))</f>
        <v>2030</v>
      </c>
      <c r="X82" s="111">
        <f t="shared" si="22"/>
        <v>0</v>
      </c>
    </row>
    <row r="83" spans="2:24">
      <c r="B83" s="123">
        <f t="shared" si="17"/>
        <v>47727</v>
      </c>
      <c r="C83" s="123">
        <f t="shared" si="18"/>
        <v>47756</v>
      </c>
      <c r="D83" s="53">
        <f>IFERROR(IF(ROUND(D82,0)&lt;=0,"-",IFERROR(IF(U83="-","-",IFERROR(IF(T83=EOMONTH(T83,-1)+1,SUMIFS($I$17:I82,T$17:T82,"&lt;="&amp;U82,T$17:T82,"&gt;"&amp;EOMONTH(U82,-1)),-E82-F82),0))+D82,0))+X82-X81,0)</f>
        <v>22476.739149999514</v>
      </c>
      <c r="E83" s="53">
        <f>ROUND(($C$5-SUM($E$16:E82))*P83,2)</f>
        <v>0</v>
      </c>
      <c r="F83" s="53">
        <f>IF(Q83=1,SUM($I$16:$I83)-SUM($F$15:F81),IF((IF(E83&gt;0,SUM($I$16:$I83),0))-SUM($F$15:F81)&lt;0,0,(IF(E83&gt;0,SUM($I$16:$I83),0))-SUM($F$15:F81)))</f>
        <v>0</v>
      </c>
      <c r="G83" s="53">
        <f t="shared" si="23"/>
        <v>0</v>
      </c>
      <c r="H83" s="68">
        <f t="shared" si="19"/>
        <v>30</v>
      </c>
      <c r="I83" s="19">
        <f t="shared" si="20"/>
        <v>98.8360721527376</v>
      </c>
      <c r="J83" s="60">
        <f t="shared" si="24"/>
        <v>0</v>
      </c>
      <c r="K83" s="73">
        <f t="shared" si="21"/>
        <v>1</v>
      </c>
      <c r="L83" s="35" cm="1">
        <f t="array" ref="L83">IFERROR(INDEX(Rates!$G$5:$G$117,MATCH(1, (Rates!$C$5:$C$117&lt;=$C83)*(Rates!$D$5:$D$117&gt;=$B83), 0)), 0)</f>
        <v>1.4657534246575345E-2</v>
      </c>
      <c r="M83" s="36" t="str">
        <f t="shared" ref="M83:M87" si="28">IF(U83=0,"-",TEXT(U83,"mmmm")&amp;" "&amp;TEXT(U83,"dd"))</f>
        <v>September 30</v>
      </c>
      <c r="N83" s="37">
        <f t="shared" si="25"/>
        <v>0</v>
      </c>
      <c r="O83" s="38">
        <f>IF(IF($C$8="Yes",IF(N83&gt;1,COUNTIF($N$17:N83,$G$12),0)-1,IF(N83&gt;1,COUNTIF($N$17:N83,$G$12),0))&lt;0,0,IF($C$8="Yes",IF(N83&gt;1,COUNTIF($N$17:N83,$G$12),0)-1,IF(N83&gt;1,COUNTIF($N$17:N83,$G$12),0)))</f>
        <v>0</v>
      </c>
      <c r="P83" s="39">
        <f>IFERROR(INDEX(Rates!$P$4:$U$13,MATCH($C$7,Rates!$O$4:$O$13,0),MATCH(O83,Rates!$P$2:$U$2,0)),0)</f>
        <v>0</v>
      </c>
      <c r="Q83" s="50">
        <f t="shared" si="26"/>
        <v>0</v>
      </c>
      <c r="R83" s="32"/>
      <c r="S83" s="32"/>
      <c r="T83" s="57">
        <v>47727</v>
      </c>
      <c r="U83" s="57">
        <v>47756</v>
      </c>
      <c r="W83" s="110">
        <f t="shared" si="27"/>
        <v>2030</v>
      </c>
      <c r="X83" s="111">
        <f t="shared" si="22"/>
        <v>0</v>
      </c>
    </row>
    <row r="84" spans="2:24">
      <c r="B84" s="123">
        <f t="shared" si="17"/>
        <v>47757</v>
      </c>
      <c r="C84" s="123">
        <f t="shared" si="18"/>
        <v>47787</v>
      </c>
      <c r="D84" s="53">
        <f>IFERROR(IF(ROUND(D83,0)&lt;=0,"-",IFERROR(IF(U84="-","-",IFERROR(IF(T84=EOMONTH(T84,-1)+1,SUMIFS($I$17:I83,T$17:T83,"&lt;="&amp;U83,T$17:T83,"&gt;"&amp;EOMONTH(U83,-1)),-E83-F83),0))+D83,0))+X83-X82,0)</f>
        <v>22575.575222152253</v>
      </c>
      <c r="E84" s="53">
        <f>ROUND(($C$5-SUM($E$16:E83))*P84,2)</f>
        <v>0</v>
      </c>
      <c r="F84" s="53">
        <f>IF(Q84=1,SUM($I$16:$I84)-SUM($F$15:F82),IF((IF(E84&gt;0,SUM($I$16:$I84),0))-SUM($F$15:F82)&lt;0,0,(IF(E84&gt;0,SUM($I$16:$I84),0))-SUM($F$15:F82)))</f>
        <v>0</v>
      </c>
      <c r="G84" s="53">
        <f t="shared" si="23"/>
        <v>0</v>
      </c>
      <c r="H84" s="68">
        <f t="shared" si="19"/>
        <v>31</v>
      </c>
      <c r="I84" s="19">
        <f t="shared" si="20"/>
        <v>102.57970275599868</v>
      </c>
      <c r="J84" s="60">
        <f t="shared" si="24"/>
        <v>0</v>
      </c>
      <c r="K84" s="73">
        <f t="shared" si="21"/>
        <v>1</v>
      </c>
      <c r="L84" s="35" cm="1">
        <f t="array" ref="L84">IFERROR(INDEX(Rates!$G$5:$G$117,MATCH(1, (Rates!$C$5:$C$117&lt;=$C84)*(Rates!$D$5:$D$117&gt;=$B84), 0)), 0)</f>
        <v>1.4657534246575345E-2</v>
      </c>
      <c r="M84" s="36" t="str">
        <f t="shared" si="28"/>
        <v>October 31</v>
      </c>
      <c r="N84" s="37">
        <f t="shared" si="25"/>
        <v>0</v>
      </c>
      <c r="O84" s="38">
        <f>IF(IF($C$8="Yes",IF(N84&gt;1,COUNTIF($N$17:N84,$G$12),0)-1,IF(N84&gt;1,COUNTIF($N$17:N84,$G$12),0))&lt;0,0,IF($C$8="Yes",IF(N84&gt;1,COUNTIF($N$17:N84,$G$12),0)-1,IF(N84&gt;1,COUNTIF($N$17:N84,$G$12),0)))</f>
        <v>0</v>
      </c>
      <c r="P84" s="39">
        <f>IFERROR(INDEX(Rates!$P$4:$U$13,MATCH($C$7,Rates!$O$4:$O$13,0),MATCH(O84,Rates!$P$2:$U$2,0)),0)</f>
        <v>0</v>
      </c>
      <c r="Q84" s="50">
        <f t="shared" si="26"/>
        <v>0</v>
      </c>
      <c r="R84" s="32"/>
      <c r="S84" s="32"/>
      <c r="T84" s="57">
        <v>47757</v>
      </c>
      <c r="U84" s="57">
        <v>47787</v>
      </c>
      <c r="W84" s="110">
        <f t="shared" si="27"/>
        <v>2030</v>
      </c>
      <c r="X84" s="111">
        <f t="shared" si="22"/>
        <v>0</v>
      </c>
    </row>
    <row r="85" spans="2:24">
      <c r="B85" s="123">
        <f t="shared" si="17"/>
        <v>47788</v>
      </c>
      <c r="C85" s="123">
        <f t="shared" si="18"/>
        <v>47817</v>
      </c>
      <c r="D85" s="53">
        <f>IFERROR(IF(ROUND(D84,0)&lt;=0,"-",IFERROR(IF(U85="-","-",IFERROR(IF(T85=EOMONTH(T85,-1)+1,SUMIFS($I$17:I84,T$17:T84,"&lt;="&amp;U84,T$17:T84,"&gt;"&amp;EOMONTH(U84,-1)),-E84-F84),0))+D84,0))+X84-X83,0)</f>
        <v>22678.154924908253</v>
      </c>
      <c r="E85" s="53">
        <f>ROUND(($C$5-SUM($E$16:E84))*P85,2)</f>
        <v>0</v>
      </c>
      <c r="F85" s="53">
        <f>IF(Q85=1,SUM($I$16:$I85)-SUM($F$15:F83),IF((IF(E85&gt;0,SUM($I$16:$I85),0))-SUM($F$15:F83)&lt;0,0,(IF(E85&gt;0,SUM($I$16:$I85),0))-SUM($F$15:F83)))</f>
        <v>0</v>
      </c>
      <c r="G85" s="53">
        <f t="shared" si="23"/>
        <v>0</v>
      </c>
      <c r="H85" s="68">
        <f t="shared" si="19"/>
        <v>30</v>
      </c>
      <c r="I85" s="19">
        <f t="shared" si="20"/>
        <v>99.721749738295216</v>
      </c>
      <c r="J85" s="60">
        <f t="shared" si="24"/>
        <v>0</v>
      </c>
      <c r="K85" s="73">
        <f t="shared" si="21"/>
        <v>1</v>
      </c>
      <c r="L85" s="35" cm="1">
        <f t="array" ref="L85">IFERROR(INDEX(Rates!$G$5:$G$117,MATCH(1, (Rates!$C$5:$C$117&lt;=$C85)*(Rates!$D$5:$D$117&gt;=$B85), 0)), 0)</f>
        <v>1.4657534246575345E-2</v>
      </c>
      <c r="M85" s="36" t="str">
        <f t="shared" si="28"/>
        <v>November 30</v>
      </c>
      <c r="N85" s="37">
        <f t="shared" si="25"/>
        <v>0</v>
      </c>
      <c r="O85" s="38">
        <f>IF(IF($C$8="Yes",IF(N85&gt;1,COUNTIF($N$17:N85,$G$12),0)-1,IF(N85&gt;1,COUNTIF($N$17:N85,$G$12),0))&lt;0,0,IF($C$8="Yes",IF(N85&gt;1,COUNTIF($N$17:N85,$G$12),0)-1,IF(N85&gt;1,COUNTIF($N$17:N85,$G$12),0)))</f>
        <v>0</v>
      </c>
      <c r="P85" s="39">
        <f>IFERROR(INDEX(Rates!$P$4:$U$13,MATCH($C$7,Rates!$O$4:$O$13,0),MATCH(O85,Rates!$P$2:$U$2,0)),0)</f>
        <v>0</v>
      </c>
      <c r="Q85" s="50">
        <f t="shared" si="26"/>
        <v>0</v>
      </c>
      <c r="R85" s="32"/>
      <c r="S85" s="32"/>
      <c r="T85" s="57">
        <v>47788</v>
      </c>
      <c r="U85" s="57">
        <v>47817</v>
      </c>
      <c r="W85" s="110">
        <f t="shared" si="27"/>
        <v>2030</v>
      </c>
      <c r="X85" s="111">
        <f t="shared" si="22"/>
        <v>0</v>
      </c>
    </row>
    <row r="86" spans="2:24">
      <c r="B86" s="123">
        <f t="shared" si="17"/>
        <v>47818</v>
      </c>
      <c r="C86" s="123">
        <f t="shared" si="18"/>
        <v>47832</v>
      </c>
      <c r="D86" s="53">
        <f>IFERROR(IF(ROUND(D85,0)&lt;=0,"-",IFERROR(IF(U86="-","-",IFERROR(IF(T86=EOMONTH(T86,-1)+1,SUMIFS($I$17:I85,T$17:T85,"&lt;="&amp;U85,T$17:T85,"&gt;"&amp;EOMONTH(U85,-1)),-E85-F85),0))+D85,0))+X85-X84,0)</f>
        <v>22777.876674646548</v>
      </c>
      <c r="E86" s="53">
        <f>ROUND(($C$5-SUM($E$16:E85))*P86,2)</f>
        <v>21641.22</v>
      </c>
      <c r="F86" s="53">
        <f>IF(Q86=1,SUM($I$16:$I86)-SUM($F$15:F84),IF((IF(E86&gt;0,SUM($I$16:$I86),0))-SUM($F$15:F84)&lt;0,0,(IF(E86&gt;0,SUM($I$16:$I86),0))-SUM($F$15:F84)))</f>
        <v>1186.736800759998</v>
      </c>
      <c r="G86" s="53">
        <f t="shared" si="23"/>
        <v>22827.956800759999</v>
      </c>
      <c r="H86" s="68">
        <f t="shared" si="19"/>
        <v>15</v>
      </c>
      <c r="I86" s="19">
        <f t="shared" si="20"/>
        <v>50.080126113435227</v>
      </c>
      <c r="J86" s="60">
        <f t="shared" si="24"/>
        <v>1</v>
      </c>
      <c r="K86" s="73">
        <f t="shared" si="21"/>
        <v>1</v>
      </c>
      <c r="L86" s="35" cm="1">
        <f t="array" ref="L86">IFERROR(INDEX(Rates!$G$5:$G$117,MATCH(1, (Rates!$C$5:$C$117&lt;=$C86)*(Rates!$D$5:$D$117&gt;=$B86), 0)), 0)</f>
        <v>1.4657534246575345E-2</v>
      </c>
      <c r="M86" s="36" t="str">
        <f t="shared" si="28"/>
        <v>December 15</v>
      </c>
      <c r="N86" s="37" t="str">
        <f t="shared" si="25"/>
        <v>December 15</v>
      </c>
      <c r="O86" s="38">
        <f>IF(IF($C$8="Yes",IF(N86&gt;1,COUNTIF($N$17:N86,$G$12),0)-1,IF(N86&gt;1,COUNTIF($N$17:N86,$G$12),0))&lt;0,0,IF($C$8="Yes",IF(N86&gt;1,COUNTIF($N$17:N86,$G$12),0)-1,IF(N86&gt;1,COUNTIF($N$17:N86,$G$12),0)))</f>
        <v>5</v>
      </c>
      <c r="P86" s="39">
        <f>IFERROR(INDEX(Rates!$P$4:$U$13,MATCH($C$7,Rates!$O$4:$O$13,0),MATCH(O86,Rates!$P$2:$U$2,0)),0)</f>
        <v>1</v>
      </c>
      <c r="Q86" s="50">
        <f t="shared" si="26"/>
        <v>0</v>
      </c>
      <c r="R86" s="32"/>
      <c r="S86" s="32"/>
      <c r="T86" s="57">
        <v>47818</v>
      </c>
      <c r="U86" s="57">
        <v>47832</v>
      </c>
      <c r="W86" s="110">
        <f t="shared" si="27"/>
        <v>2030</v>
      </c>
      <c r="X86" s="111">
        <f t="shared" si="22"/>
        <v>50.080126113435227</v>
      </c>
    </row>
    <row r="87" spans="2:24">
      <c r="B87" s="123" t="str">
        <f t="shared" si="17"/>
        <v>-</v>
      </c>
      <c r="C87" s="123" t="str">
        <f t="shared" si="18"/>
        <v>-</v>
      </c>
      <c r="D87" s="53">
        <f>IFERROR(IF(ROUND(D86,0)&lt;=0,"-",IFERROR(IF(U87="-","-",IFERROR(IF(T87=EOMONTH(T87,-1)+1,SUMIFS($I$17:I86,T$17:T86,"&lt;="&amp;U86,T$17:T86,"&gt;"&amp;EOMONTH(U86,-1)),-E86-F86),0))+D86,0))+X86-X85,0)</f>
        <v>-1.588773557159584E-11</v>
      </c>
      <c r="E87" s="53">
        <f>ROUND(($C$5-SUM($E$16:E86))*P87,2)</f>
        <v>0</v>
      </c>
      <c r="F87" s="53">
        <f>IF(Q87=1,SUM($I$16:$I87)-SUM($F$15:F85),IF((IF(E87&gt;0,SUM($I$16:$I87),0))-SUM($F$15:F85)&lt;0,0,(IF(E87&gt;0,SUM($I$16:$I87),0))-SUM($F$15:F85)))</f>
        <v>0</v>
      </c>
      <c r="G87" s="53">
        <f t="shared" si="23"/>
        <v>0</v>
      </c>
      <c r="H87" s="68">
        <f t="shared" si="19"/>
        <v>0</v>
      </c>
      <c r="I87" s="19">
        <f t="shared" si="20"/>
        <v>0</v>
      </c>
      <c r="J87" s="60">
        <f t="shared" si="24"/>
        <v>0</v>
      </c>
      <c r="K87" s="73">
        <f t="shared" si="21"/>
        <v>0</v>
      </c>
      <c r="L87" s="35" cm="1">
        <f t="array" ref="L87">IFERROR(INDEX(Rates!$G$5:$G$117,MATCH(1, (Rates!$C$5:$C$117&lt;=$C87)*(Rates!$D$5:$D$117&gt;=$B87), 0)), 0)</f>
        <v>0</v>
      </c>
      <c r="M87" s="36" t="str">
        <f t="shared" si="28"/>
        <v>December 31</v>
      </c>
      <c r="N87" s="37">
        <f t="shared" si="25"/>
        <v>0</v>
      </c>
      <c r="O87" s="38">
        <f>IF(IF($C$8="Yes",IF(N87&gt;1,COUNTIF($N$17:N87,$G$12),0)-1,IF(N87&gt;1,COUNTIF($N$17:N87,$G$12),0))&lt;0,0,IF($C$8="Yes",IF(N87&gt;1,COUNTIF($N$17:N87,$G$12),0)-1,IF(N87&gt;1,COUNTIF($N$17:N87,$G$12),0)))</f>
        <v>0</v>
      </c>
      <c r="P87" s="39">
        <f>IFERROR(INDEX(Rates!$P$4:$U$13,MATCH($C$7,Rates!$O$4:$O$13,0),MATCH(O87,Rates!$P$2:$U$2,0)),0)</f>
        <v>0</v>
      </c>
      <c r="Q87" s="50">
        <f t="shared" si="26"/>
        <v>0</v>
      </c>
      <c r="R87" s="32"/>
      <c r="S87" s="32"/>
      <c r="T87" s="57">
        <v>47833</v>
      </c>
      <c r="U87" s="57">
        <v>47848</v>
      </c>
      <c r="W87" s="110">
        <f t="shared" si="27"/>
        <v>2030</v>
      </c>
      <c r="X87" s="111">
        <f t="shared" si="22"/>
        <v>0</v>
      </c>
    </row>
    <row r="88" spans="2:24">
      <c r="B88" s="123" t="str">
        <f t="shared" si="17"/>
        <v>-</v>
      </c>
      <c r="C88" s="123" t="str">
        <f t="shared" si="18"/>
        <v>-</v>
      </c>
      <c r="D88" s="53">
        <f>IFERROR(IF(ROUND(D87,0)&lt;=0,"-",IFERROR(IF(U88="-","-",IFERROR(IF(T88=EOMONTH(T88,-1)+1,SUMIFS($I$17:I87,T$17:T87,"&lt;="&amp;U87,T$17:T87,"&gt;"&amp;EOMONTH(U87,-1)),-E87-F87),0))+D87,0))+X87-X86,0)</f>
        <v>0</v>
      </c>
      <c r="E88" s="53">
        <f>ROUND(($C$5-SUM($E$16:E87))*P88,2)</f>
        <v>0</v>
      </c>
      <c r="F88" s="53">
        <f>IF(Q88=1,SUM($I$16:$I88)-SUM($F$15:F86),IF((IF(E88&gt;0,SUM($I$16:$I88),0))-SUM($F$15:F86)&lt;0,0,(IF(E88&gt;0,SUM($I$16:$I88),0))-SUM($F$15:F86)))</f>
        <v>0</v>
      </c>
      <c r="G88" s="53">
        <f t="shared" si="23"/>
        <v>0</v>
      </c>
      <c r="H88" s="68">
        <f t="shared" si="19"/>
        <v>0</v>
      </c>
      <c r="I88" s="19">
        <f t="shared" si="20"/>
        <v>0</v>
      </c>
      <c r="J88" s="60">
        <f t="shared" si="24"/>
        <v>0</v>
      </c>
      <c r="K88" s="73">
        <f t="shared" si="21"/>
        <v>0</v>
      </c>
      <c r="L88" s="35" cm="1">
        <f t="array" ref="L88">IFERROR(INDEX(Rates!$G$5:$G$117,MATCH(1, (Rates!$C$5:$C$117&lt;=$C88)*(Rates!$D$5:$D$117&gt;=$B88), 0)), 0)</f>
        <v>0</v>
      </c>
      <c r="M88" s="36" t="str">
        <f t="shared" ref="M88:M97" si="29">IF(U88=0,"-",TEXT(U88,"mmmm")&amp;" "&amp;TEXT(U88,"dd"))</f>
        <v>- -</v>
      </c>
      <c r="N88" s="37">
        <f t="shared" si="25"/>
        <v>0</v>
      </c>
      <c r="O88" s="38">
        <f>IF(IF($C$8="Yes",IF(N88&gt;1,COUNTIF($N$17:N88,$G$12),0)-1,IF(N88&gt;1,COUNTIF($N$17:N88,$G$12),0))&lt;0,0,IF($C$8="Yes",IF(N88&gt;1,COUNTIF($N$17:N88,$G$12),0)-1,IF(N88&gt;1,COUNTIF($N$17:N88,$G$12),0)))</f>
        <v>0</v>
      </c>
      <c r="P88" s="39">
        <f>IFERROR(INDEX(Rates!$P$4:$U$13,MATCH($C$7,Rates!$O$4:$O$13,0),MATCH(O88,Rates!$P$2:$U$2,0)),0)</f>
        <v>0</v>
      </c>
      <c r="Q88" s="50">
        <f t="shared" si="26"/>
        <v>0</v>
      </c>
      <c r="R88" s="32"/>
      <c r="S88" s="50"/>
      <c r="T88" s="57" t="str">
        <v>-</v>
      </c>
      <c r="U88" s="57" t="str">
        <v>-</v>
      </c>
      <c r="W88" s="110" t="str">
        <f t="shared" si="27"/>
        <v>-</v>
      </c>
      <c r="X88" s="111">
        <f t="shared" si="22"/>
        <v>0</v>
      </c>
    </row>
    <row r="89" spans="2:24">
      <c r="B89" s="123" t="str">
        <f t="shared" si="17"/>
        <v>-</v>
      </c>
      <c r="C89" s="123" t="str">
        <f t="shared" si="18"/>
        <v>-</v>
      </c>
      <c r="D89" s="53">
        <f>IFERROR(IF(ROUND(D88,0)&lt;=0,"-",IFERROR(IF(U89="-","-",IFERROR(IF(T89=EOMONTH(T89,-1)+1,SUMIFS($I$17:I88,T$17:T88,"&lt;="&amp;U88,T$17:T88,"&gt;"&amp;EOMONTH(U88,-1)),-E88-F88),0))+D88,0))+X88-X87,0)</f>
        <v>0</v>
      </c>
      <c r="E89" s="53">
        <f>ROUND(($C$5-SUM($E$16:E88))*P89,2)</f>
        <v>0</v>
      </c>
      <c r="F89" s="53">
        <f>IF(Q89=1,SUM($I$16:$I89)-SUM($F$15:F87),IF((IF(E89&gt;0,SUM($I$16:$I89),0))-SUM($F$15:F87)&lt;0,0,(IF(E89&gt;0,SUM($I$16:$I89),0))-SUM($F$15:F87)))</f>
        <v>0</v>
      </c>
      <c r="G89" s="53">
        <f t="shared" si="23"/>
        <v>0</v>
      </c>
      <c r="H89" s="68">
        <f t="shared" si="19"/>
        <v>0</v>
      </c>
      <c r="I89" s="19">
        <f t="shared" si="20"/>
        <v>0</v>
      </c>
      <c r="J89" s="60">
        <f t="shared" si="24"/>
        <v>0</v>
      </c>
      <c r="K89" s="73">
        <f t="shared" si="21"/>
        <v>0</v>
      </c>
      <c r="L89" s="35" cm="1">
        <f t="array" ref="L89">IFERROR(INDEX(Rates!$G$5:$G$117,MATCH(1, (Rates!$C$5:$C$117&lt;=$C89)*(Rates!$D$5:$D$117&gt;=$B89), 0)), 0)</f>
        <v>0</v>
      </c>
      <c r="M89" s="36" t="str">
        <f t="shared" si="29"/>
        <v>-</v>
      </c>
      <c r="N89" s="37">
        <f t="shared" si="25"/>
        <v>0</v>
      </c>
      <c r="O89" s="38">
        <f>IF(IF($C$8="Yes",IF(N89&gt;1,COUNTIF($N$17:N89,$G$12),0)-1,IF(N89&gt;1,COUNTIF($N$17:N89,$G$12),0))&lt;0,0,IF($C$8="Yes",IF(N89&gt;1,COUNTIF($N$17:N89,$G$12),0)-1,IF(N89&gt;1,COUNTIF($N$17:N89,$G$12),0)))</f>
        <v>0</v>
      </c>
      <c r="P89" s="39">
        <f>IFERROR(INDEX(Rates!$P$4:$U$13,MATCH($C$7,Rates!$O$4:$O$13,0),MATCH(O89,Rates!$P$2:$U$2,0)),0)</f>
        <v>0</v>
      </c>
      <c r="Q89" s="50">
        <f t="shared" si="26"/>
        <v>0</v>
      </c>
      <c r="R89" s="32"/>
      <c r="S89" s="32"/>
      <c r="W89" s="110" t="str">
        <f t="shared" si="27"/>
        <v>-</v>
      </c>
      <c r="X89" s="111">
        <f t="shared" si="22"/>
        <v>0</v>
      </c>
    </row>
    <row r="90" spans="2:24">
      <c r="B90" s="123" t="str">
        <f t="shared" si="17"/>
        <v>-</v>
      </c>
      <c r="C90" s="123" t="str">
        <f t="shared" si="18"/>
        <v>-</v>
      </c>
      <c r="D90" s="53">
        <f>IFERROR(IF(ROUND(D89,0)&lt;=0,"-",IFERROR(IF(U90="-","-",IFERROR(IF(T90=EOMONTH(T90,-1)+1,SUMIFS($I$17:I89,T$17:T89,"&lt;="&amp;U89,T$17:T89,"&gt;"&amp;EOMONTH(U89,-1)),-E89-F89),0))+D89,0))+X89-X88,0)</f>
        <v>0</v>
      </c>
      <c r="E90" s="53">
        <f>ROUND(($C$5-SUM($E$16:E89))*P90,2)</f>
        <v>0</v>
      </c>
      <c r="F90" s="53">
        <f>IF(Q90=1,SUM($I$16:$I90)-SUM($F$15:F88),IF((IF(E90&gt;0,SUM($I$16:$I90),0))-SUM($F$15:F88)&lt;0,0,(IF(E90&gt;0,SUM($I$16:$I90),0))-SUM($F$15:F88)))</f>
        <v>0</v>
      </c>
      <c r="G90" s="53">
        <f t="shared" si="23"/>
        <v>0</v>
      </c>
      <c r="H90" s="68">
        <f t="shared" si="19"/>
        <v>0</v>
      </c>
      <c r="I90" s="19">
        <f t="shared" si="20"/>
        <v>0</v>
      </c>
      <c r="J90" s="60">
        <f t="shared" si="24"/>
        <v>0</v>
      </c>
      <c r="K90" s="73">
        <f t="shared" si="21"/>
        <v>0</v>
      </c>
      <c r="L90" s="35" cm="1">
        <f t="array" ref="L90">IFERROR(INDEX(Rates!$G$5:$G$117,MATCH(1, (Rates!$C$5:$C$117&lt;=$C90)*(Rates!$D$5:$D$117&gt;=$B90), 0)), 0)</f>
        <v>0</v>
      </c>
      <c r="M90" s="36" t="str">
        <f t="shared" si="29"/>
        <v>-</v>
      </c>
      <c r="N90" s="37">
        <f t="shared" si="25"/>
        <v>0</v>
      </c>
      <c r="O90" s="38">
        <f>IF(IF($C$8="Yes",IF(N90&gt;1,COUNTIF($N$17:N90,$G$12),0)-1,IF(N90&gt;1,COUNTIF($N$17:N90,$G$12),0))&lt;0,0,IF($C$8="Yes",IF(N90&gt;1,COUNTIF($N$17:N90,$G$12),0)-1,IF(N90&gt;1,COUNTIF($N$17:N90,$G$12),0)))</f>
        <v>0</v>
      </c>
      <c r="P90" s="39">
        <f>IFERROR(INDEX(Rates!$P$4:$U$13,MATCH($C$7,Rates!$O$4:$O$13,0),MATCH(O90,Rates!$P$2:$U$2,0)),0)</f>
        <v>0</v>
      </c>
      <c r="Q90" s="50">
        <f t="shared" si="26"/>
        <v>0</v>
      </c>
      <c r="R90" s="32"/>
      <c r="S90" s="32"/>
      <c r="W90" s="110" t="str">
        <f t="shared" si="27"/>
        <v>-</v>
      </c>
      <c r="X90" s="111">
        <f t="shared" si="22"/>
        <v>0</v>
      </c>
    </row>
    <row r="91" spans="2:24">
      <c r="B91" s="123" t="str">
        <f t="shared" si="17"/>
        <v>-</v>
      </c>
      <c r="C91" s="123" t="str">
        <f t="shared" si="18"/>
        <v>-</v>
      </c>
      <c r="D91" s="53">
        <f>IFERROR(IF(ROUND(D90,0)&lt;=0,"-",IFERROR(IF(U91="-","-",IFERROR(IF(T91=EOMONTH(T91,-1)+1,SUMIFS($I$17:I90,T$17:T90,"&lt;="&amp;U90,T$17:T90,"&gt;"&amp;EOMONTH(U90,-1)),-E90-F90),0))+D90,0))+X90-X89,0)</f>
        <v>0</v>
      </c>
      <c r="E91" s="53">
        <f>ROUND(($C$5-SUM($E$16:E90))*P91,2)</f>
        <v>0</v>
      </c>
      <c r="F91" s="53">
        <f>IF(Q91=1,SUM($I$16:$I91)-SUM($F$15:F89),IF((IF(E91&gt;0,SUM($I$16:$I91),0))-SUM($F$15:F89)&lt;0,0,(IF(E91&gt;0,SUM($I$16:$I91),0))-SUM($F$15:F89)))</f>
        <v>0</v>
      </c>
      <c r="G91" s="53">
        <f t="shared" si="23"/>
        <v>0</v>
      </c>
      <c r="H91" s="68">
        <f t="shared" si="19"/>
        <v>0</v>
      </c>
      <c r="I91" s="19">
        <f t="shared" si="20"/>
        <v>0</v>
      </c>
      <c r="J91" s="60">
        <f t="shared" si="24"/>
        <v>0</v>
      </c>
      <c r="K91" s="73">
        <f t="shared" si="21"/>
        <v>0</v>
      </c>
      <c r="L91" s="35" cm="1">
        <f t="array" ref="L91">IFERROR(INDEX(Rates!$G$5:$G$117,MATCH(1, (Rates!$C$5:$C$117&lt;=$C91)*(Rates!$D$5:$D$117&gt;=$B91), 0)), 0)</f>
        <v>0</v>
      </c>
      <c r="M91" s="36" t="str">
        <f t="shared" si="29"/>
        <v>-</v>
      </c>
      <c r="N91" s="37">
        <f t="shared" si="25"/>
        <v>0</v>
      </c>
      <c r="O91" s="38">
        <f>IF(IF($C$8="Yes",IF(N91&gt;1,COUNTIF($N$17:N91,$G$12),0)-1,IF(N91&gt;1,COUNTIF($N$17:N91,$G$12),0))&lt;0,0,IF($C$8="Yes",IF(N91&gt;1,COUNTIF($N$17:N91,$G$12),0)-1,IF(N91&gt;1,COUNTIF($N$17:N91,$G$12),0)))</f>
        <v>0</v>
      </c>
      <c r="P91" s="39">
        <f>IFERROR(INDEX(Rates!$P$4:$U$13,MATCH($C$7,Rates!$O$4:$O$13,0),MATCH(O91,Rates!$P$2:$U$2,0)),0)</f>
        <v>0</v>
      </c>
      <c r="Q91" s="50">
        <f t="shared" si="26"/>
        <v>0</v>
      </c>
      <c r="R91" s="32"/>
      <c r="S91" s="32"/>
      <c r="W91" s="110" t="str">
        <f t="shared" si="27"/>
        <v>-</v>
      </c>
      <c r="X91" s="111">
        <f t="shared" si="22"/>
        <v>0</v>
      </c>
    </row>
    <row r="92" spans="2:24">
      <c r="B92" s="123" t="str">
        <f t="shared" si="17"/>
        <v>-</v>
      </c>
      <c r="C92" s="123" t="str">
        <f t="shared" si="18"/>
        <v>-</v>
      </c>
      <c r="D92" s="53">
        <f>IFERROR(IF(ROUND(D91,0)&lt;=0,"-",IFERROR(IF(U92="-","-",IFERROR(IF(T92=EOMONTH(T92,-1)+1,SUMIFS($I$17:I91,T$17:T91,"&lt;="&amp;U91,T$17:T91,"&gt;"&amp;EOMONTH(U91,-1)),-E91-F91),0))+D91,0))+X91-X90,0)</f>
        <v>0</v>
      </c>
      <c r="E92" s="53">
        <f>ROUND(($C$5-SUM($E$16:E91))*P92,2)</f>
        <v>0</v>
      </c>
      <c r="F92" s="53">
        <f>IF(Q92=1,SUM($I$16:$I92)-SUM($F$15:F90),IF((IF(E92&gt;0,SUM($I$16:$I92),0))-SUM($F$15:F90)&lt;0,0,(IF(E92&gt;0,SUM($I$16:$I92),0))-SUM($F$15:F90)))</f>
        <v>0</v>
      </c>
      <c r="G92" s="53">
        <f t="shared" si="23"/>
        <v>0</v>
      </c>
      <c r="H92" s="68">
        <f t="shared" si="19"/>
        <v>0</v>
      </c>
      <c r="I92" s="19">
        <f t="shared" si="20"/>
        <v>0</v>
      </c>
      <c r="J92" s="60">
        <f t="shared" si="24"/>
        <v>0</v>
      </c>
      <c r="K92" s="73">
        <f t="shared" si="21"/>
        <v>0</v>
      </c>
      <c r="L92" s="35" cm="1">
        <f t="array" ref="L92">IFERROR(INDEX(Rates!$G$5:$G$117,MATCH(1, (Rates!$C$5:$C$117&lt;=$C92)*(Rates!$D$5:$D$117&gt;=$B92), 0)), 0)</f>
        <v>0</v>
      </c>
      <c r="M92" s="36" t="str">
        <f t="shared" si="29"/>
        <v>-</v>
      </c>
      <c r="N92" s="37">
        <f t="shared" si="25"/>
        <v>0</v>
      </c>
      <c r="O92" s="38">
        <f>IF(IF($C$8="Yes",IF(N92&gt;1,COUNTIF($N$17:N92,$G$12),0)-1,IF(N92&gt;1,COUNTIF($N$17:N92,$G$12),0))&lt;0,0,IF($C$8="Yes",IF(N92&gt;1,COUNTIF($N$17:N92,$G$12),0)-1,IF(N92&gt;1,COUNTIF($N$17:N92,$G$12),0)))</f>
        <v>0</v>
      </c>
      <c r="P92" s="39">
        <f>IFERROR(INDEX(Rates!$P$4:$U$13,MATCH($C$7,Rates!$O$4:$O$13,0),MATCH(O92,Rates!$P$2:$U$2,0)),0)</f>
        <v>0</v>
      </c>
      <c r="Q92" s="50">
        <f t="shared" si="26"/>
        <v>0</v>
      </c>
      <c r="R92" s="32"/>
      <c r="S92" s="32"/>
      <c r="W92" s="110" t="str">
        <f t="shared" si="27"/>
        <v>-</v>
      </c>
      <c r="X92" s="111">
        <f t="shared" si="22"/>
        <v>0</v>
      </c>
    </row>
    <row r="93" spans="2:24">
      <c r="B93" s="123" t="str">
        <f t="shared" si="17"/>
        <v>-</v>
      </c>
      <c r="C93" s="123" t="str">
        <f t="shared" si="18"/>
        <v>-</v>
      </c>
      <c r="D93" s="53">
        <f>IFERROR(IF(ROUND(D92,0)&lt;=0,"-",IFERROR(IF(U93="-","-",IFERROR(IF(T93=EOMONTH(T93,-1)+1,SUMIFS($I$17:I92,T$17:T92,"&lt;="&amp;U92,T$17:T92,"&gt;"&amp;EOMONTH(U92,-1)),-E92-F92),0))+D92,0))+X92-X91,0)</f>
        <v>0</v>
      </c>
      <c r="E93" s="53">
        <f>ROUND(($C$5-SUM($E$16:E92))*P93,2)</f>
        <v>0</v>
      </c>
      <c r="F93" s="53">
        <f>IF(Q93=1,SUM($I$16:$I93)-SUM($F$15:F91),IF((IF(E93&gt;0,SUM($I$16:$I93),0))-SUM($F$15:F91)&lt;0,0,(IF(E93&gt;0,SUM($I$16:$I93),0))-SUM($F$15:F91)))</f>
        <v>0</v>
      </c>
      <c r="G93" s="53">
        <f t="shared" si="23"/>
        <v>0</v>
      </c>
      <c r="H93" s="68">
        <f t="shared" si="19"/>
        <v>0</v>
      </c>
      <c r="I93" s="19">
        <f t="shared" si="20"/>
        <v>0</v>
      </c>
      <c r="J93" s="60">
        <f t="shared" si="24"/>
        <v>0</v>
      </c>
      <c r="K93" s="73">
        <f t="shared" si="21"/>
        <v>0</v>
      </c>
      <c r="L93" s="35" cm="1">
        <f t="array" ref="L93">IFERROR(INDEX(Rates!$G$5:$G$117,MATCH(1, (Rates!$C$5:$C$117&lt;=$C93)*(Rates!$D$5:$D$117&gt;=$B93), 0)), 0)</f>
        <v>0</v>
      </c>
      <c r="M93" s="36" t="str">
        <f t="shared" si="29"/>
        <v>-</v>
      </c>
      <c r="N93" s="37">
        <f t="shared" si="25"/>
        <v>0</v>
      </c>
      <c r="O93" s="38">
        <f>IF(IF($C$8="Yes",IF(N93&gt;1,COUNTIF($N$17:N93,$G$12),0)-1,IF(N93&gt;1,COUNTIF($N$17:N93,$G$12),0))&lt;0,0,IF($C$8="Yes",IF(N93&gt;1,COUNTIF($N$17:N93,$G$12),0)-1,IF(N93&gt;1,COUNTIF($N$17:N93,$G$12),0)))</f>
        <v>0</v>
      </c>
      <c r="P93" s="39">
        <f>IFERROR(INDEX(Rates!$P$4:$U$13,MATCH($C$7,Rates!$O$4:$O$13,0),MATCH(O93,Rates!$P$2:$U$2,0)),0)</f>
        <v>0</v>
      </c>
      <c r="Q93" s="50">
        <f t="shared" si="26"/>
        <v>0</v>
      </c>
      <c r="R93" s="32"/>
      <c r="S93" s="32"/>
      <c r="W93" s="110" t="str">
        <f t="shared" si="27"/>
        <v>-</v>
      </c>
      <c r="X93" s="111">
        <f t="shared" si="22"/>
        <v>0</v>
      </c>
    </row>
    <row r="94" spans="2:24">
      <c r="B94" s="123" t="str">
        <f t="shared" si="17"/>
        <v>-</v>
      </c>
      <c r="C94" s="123" t="str">
        <f t="shared" si="18"/>
        <v>-</v>
      </c>
      <c r="D94" s="53">
        <f>IFERROR(IF(ROUND(D93,0)&lt;=0,"-",IFERROR(IF(U94="-","-",IFERROR(IF(T94=EOMONTH(T94,-1)+1,SUMIFS($I$17:I93,T$17:T93,"&lt;="&amp;U93,T$17:T93,"&gt;"&amp;EOMONTH(U93,-1)),-E93-F93),0))+D93,0))+X93-X92,0)</f>
        <v>0</v>
      </c>
      <c r="E94" s="53">
        <f>ROUND(($C$5-SUM($E$16:E93))*P94,2)</f>
        <v>0</v>
      </c>
      <c r="F94" s="53">
        <f>IF(Q94=1,SUM($I$16:$I94)-SUM($F$15:F92),IF((IF(E94&gt;0,SUM($I$16:$I94),0))-SUM($F$15:F92)&lt;0,0,(IF(E94&gt;0,SUM($I$16:$I94),0))-SUM($F$15:F92)))</f>
        <v>0</v>
      </c>
      <c r="G94" s="53">
        <f t="shared" si="23"/>
        <v>0</v>
      </c>
      <c r="H94" s="68">
        <f t="shared" si="19"/>
        <v>0</v>
      </c>
      <c r="I94" s="19">
        <f t="shared" si="20"/>
        <v>0</v>
      </c>
      <c r="J94" s="60">
        <f t="shared" si="24"/>
        <v>0</v>
      </c>
      <c r="K94" s="73">
        <f t="shared" si="21"/>
        <v>0</v>
      </c>
      <c r="L94" s="35" cm="1">
        <f t="array" ref="L94">IFERROR(INDEX(Rates!$G$5:$G$117,MATCH(1, (Rates!$C$5:$C$117&lt;=$C94)*(Rates!$D$5:$D$117&gt;=$B94), 0)), 0)</f>
        <v>0</v>
      </c>
      <c r="M94" s="36" t="str">
        <f t="shared" si="29"/>
        <v>-</v>
      </c>
      <c r="N94" s="37">
        <f t="shared" si="25"/>
        <v>0</v>
      </c>
      <c r="O94" s="38">
        <f>IF(IF($C$8="Yes",IF(N94&gt;1,COUNTIF($N$17:N94,$G$12),0)-1,IF(N94&gt;1,COUNTIF($N$17:N94,$G$12),0))&lt;0,0,IF($C$8="Yes",IF(N94&gt;1,COUNTIF($N$17:N94,$G$12),0)-1,IF(N94&gt;1,COUNTIF($N$17:N94,$G$12),0)))</f>
        <v>0</v>
      </c>
      <c r="P94" s="39">
        <f>IFERROR(INDEX(Rates!$P$4:$U$13,MATCH($C$7,Rates!$O$4:$O$13,0),MATCH(O94,Rates!$P$2:$U$2,0)),0)</f>
        <v>0</v>
      </c>
      <c r="Q94" s="50">
        <f t="shared" si="26"/>
        <v>0</v>
      </c>
      <c r="R94" s="32"/>
      <c r="S94" s="32"/>
      <c r="W94" s="110" t="str">
        <f t="shared" si="27"/>
        <v>-</v>
      </c>
      <c r="X94" s="111">
        <f t="shared" si="22"/>
        <v>0</v>
      </c>
    </row>
    <row r="95" spans="2:24">
      <c r="B95" s="123" t="str">
        <f t="shared" si="17"/>
        <v>-</v>
      </c>
      <c r="C95" s="123" t="str">
        <f t="shared" si="18"/>
        <v>-</v>
      </c>
      <c r="D95" s="53">
        <f>IFERROR(IF(ROUND(D94,0)&lt;=0,"-",IFERROR(IF(U95="-","-",IFERROR(IF(T95=EOMONTH(T95,-1)+1,SUMIFS($I$17:I94,T$17:T94,"&lt;="&amp;U94,T$17:T94,"&gt;"&amp;EOMONTH(U94,-1)),-E94-F94),0))+D94,0))+X94-X93,0)</f>
        <v>0</v>
      </c>
      <c r="E95" s="53">
        <f>ROUND(($C$5-SUM($E$16:E94))*P95,2)</f>
        <v>0</v>
      </c>
      <c r="F95" s="53">
        <f>IF(Q95=1,SUM($I$16:$I95)-SUM($F$15:F93),IF((IF(E95&gt;0,SUM($I$16:$I95),0))-SUM($F$15:F93)&lt;0,0,(IF(E95&gt;0,SUM($I$16:$I95),0))-SUM($F$15:F93)))</f>
        <v>0</v>
      </c>
      <c r="G95" s="53">
        <f t="shared" si="23"/>
        <v>0</v>
      </c>
      <c r="H95" s="68">
        <f t="shared" si="19"/>
        <v>0</v>
      </c>
      <c r="I95" s="19">
        <f t="shared" si="20"/>
        <v>0</v>
      </c>
      <c r="J95" s="60">
        <f t="shared" si="24"/>
        <v>0</v>
      </c>
      <c r="K95" s="73">
        <f t="shared" si="21"/>
        <v>0</v>
      </c>
      <c r="L95" s="35" cm="1">
        <f t="array" ref="L95">IFERROR(INDEX(Rates!$G$5:$G$117,MATCH(1, (Rates!$C$5:$C$117&lt;=$C95)*(Rates!$D$5:$D$117&gt;=$B95), 0)), 0)</f>
        <v>0</v>
      </c>
      <c r="M95" s="36" t="str">
        <f t="shared" si="29"/>
        <v>-</v>
      </c>
      <c r="N95" s="37">
        <f t="shared" si="25"/>
        <v>0</v>
      </c>
      <c r="O95" s="38">
        <f>IF(IF($C$8="Yes",IF(N95&gt;1,COUNTIF($N$17:N95,$G$12),0)-1,IF(N95&gt;1,COUNTIF($N$17:N95,$G$12),0))&lt;0,0,IF($C$8="Yes",IF(N95&gt;1,COUNTIF($N$17:N95,$G$12),0)-1,IF(N95&gt;1,COUNTIF($N$17:N95,$G$12),0)))</f>
        <v>0</v>
      </c>
      <c r="P95" s="39">
        <f>IFERROR(INDEX(Rates!$P$4:$U$13,MATCH($C$7,Rates!$O$4:$O$13,0),MATCH(O95,Rates!$P$2:$U$2,0)),0)</f>
        <v>0</v>
      </c>
      <c r="Q95" s="50">
        <f t="shared" si="26"/>
        <v>0</v>
      </c>
      <c r="R95" s="32"/>
      <c r="S95" s="32"/>
      <c r="W95" s="110" t="str">
        <f t="shared" si="27"/>
        <v>-</v>
      </c>
      <c r="X95" s="111">
        <f t="shared" si="22"/>
        <v>0</v>
      </c>
    </row>
    <row r="96" spans="2:24">
      <c r="B96" s="123" t="str">
        <f t="shared" si="17"/>
        <v>-</v>
      </c>
      <c r="C96" s="123" t="str">
        <f t="shared" si="18"/>
        <v>-</v>
      </c>
      <c r="D96" s="53">
        <f>IFERROR(IF(ROUND(D95,0)&lt;=0,"-",IFERROR(IF(U96="-","-",IFERROR(IF(T96=EOMONTH(T96,-1)+1,SUMIFS($I$17:I95,T$17:T95,"&lt;="&amp;U95,T$17:T95,"&gt;"&amp;EOMONTH(U95,-1)),-E95-F95),0))+D95,0))+X95-X94,0)</f>
        <v>0</v>
      </c>
      <c r="E96" s="53">
        <f>ROUND(($C$5-SUM($E$16:E95))*P96,2)</f>
        <v>0</v>
      </c>
      <c r="F96" s="53">
        <f>IF(Q96=1,SUM($I$16:$I96)-SUM($F$15:F94),IF((IF(E96&gt;0,SUM($I$16:$I96),0))-SUM($F$15:F94)&lt;0,0,(IF(E96&gt;0,SUM($I$16:$I96),0))-SUM($F$15:F94)))</f>
        <v>0</v>
      </c>
      <c r="G96" s="53">
        <f t="shared" si="23"/>
        <v>0</v>
      </c>
      <c r="H96" s="68">
        <f t="shared" si="19"/>
        <v>0</v>
      </c>
      <c r="I96" s="19">
        <f t="shared" si="20"/>
        <v>0</v>
      </c>
      <c r="J96" s="60">
        <f t="shared" si="24"/>
        <v>0</v>
      </c>
      <c r="K96" s="73">
        <f t="shared" si="21"/>
        <v>0</v>
      </c>
      <c r="L96" s="35" cm="1">
        <f t="array" ref="L96">IFERROR(INDEX(Rates!$G$5:$G$117,MATCH(1, (Rates!$C$5:$C$117&lt;=$C96)*(Rates!$D$5:$D$117&gt;=$B96), 0)), 0)</f>
        <v>0</v>
      </c>
      <c r="M96" s="36" t="str">
        <f t="shared" si="29"/>
        <v>-</v>
      </c>
      <c r="N96" s="37">
        <f t="shared" si="25"/>
        <v>0</v>
      </c>
      <c r="O96" s="38">
        <f>IF(IF($C$8="Yes",IF(N96&gt;1,COUNTIF($N$17:N96,$G$12),0)-1,IF(N96&gt;1,COUNTIF($N$17:N96,$G$12),0))&lt;0,0,IF($C$8="Yes",IF(N96&gt;1,COUNTIF($N$17:N96,$G$12),0)-1,IF(N96&gt;1,COUNTIF($N$17:N96,$G$12),0)))</f>
        <v>0</v>
      </c>
      <c r="P96" s="39">
        <f>IFERROR(INDEX(Rates!$P$4:$U$13,MATCH($C$7,Rates!$O$4:$O$13,0),MATCH(O96,Rates!$P$2:$U$2,0)),0)</f>
        <v>0</v>
      </c>
      <c r="Q96" s="50">
        <f t="shared" si="26"/>
        <v>0</v>
      </c>
      <c r="R96" s="32"/>
      <c r="S96" s="32"/>
      <c r="W96" s="110" t="str">
        <f t="shared" si="27"/>
        <v>-</v>
      </c>
      <c r="X96" s="111">
        <f t="shared" si="22"/>
        <v>0</v>
      </c>
    </row>
    <row r="97" spans="2:24">
      <c r="B97" s="123" t="str">
        <f t="shared" si="17"/>
        <v>-</v>
      </c>
      <c r="C97" s="123" t="str">
        <f t="shared" si="18"/>
        <v>-</v>
      </c>
      <c r="D97" s="53">
        <f>IFERROR(IF(ROUND(D96,0)&lt;=0,"-",IFERROR(IF(U97="-","-",IFERROR(IF(T97=EOMONTH(T97,-1)+1,SUMIFS($I$17:I96,T$17:T96,"&lt;="&amp;U96,T$17:T96,"&gt;"&amp;EOMONTH(U96,-1)),-E96-F96),0))+D96,0))+X96-X95,0)</f>
        <v>0</v>
      </c>
      <c r="E97" s="53">
        <f>ROUND(($C$5-SUM($E$16:E96))*P97,2)</f>
        <v>0</v>
      </c>
      <c r="F97" s="53">
        <f>IF(Q97=1,SUM($I$16:$I97)-SUM($F$15:F95),IF((IF(E97&gt;0,SUM($I$16:$I97),0))-SUM($F$15:F95)&lt;0,0,(IF(E97&gt;0,SUM($I$16:$I97),0))-SUM($F$15:F95)))</f>
        <v>0</v>
      </c>
      <c r="G97" s="53">
        <f t="shared" si="23"/>
        <v>0</v>
      </c>
      <c r="H97" s="68">
        <f t="shared" si="19"/>
        <v>0</v>
      </c>
      <c r="I97" s="19">
        <f t="shared" si="20"/>
        <v>0</v>
      </c>
      <c r="J97" s="60">
        <f t="shared" si="24"/>
        <v>0</v>
      </c>
      <c r="K97" s="73">
        <f t="shared" si="21"/>
        <v>0</v>
      </c>
      <c r="L97" s="35" cm="1">
        <f t="array" ref="L97">IFERROR(INDEX(Rates!$G$5:$G$117,MATCH(1, (Rates!$C$5:$C$117&lt;=$C97)*(Rates!$D$5:$D$117&gt;=$B97), 0)), 0)</f>
        <v>0</v>
      </c>
      <c r="M97" s="36" t="str">
        <f t="shared" si="29"/>
        <v>-</v>
      </c>
      <c r="N97" s="37">
        <f t="shared" si="25"/>
        <v>0</v>
      </c>
      <c r="O97" s="38">
        <f>IF(IF($C$8="Yes",IF(N97&gt;1,COUNTIF($N$17:N97,$G$12),0)-1,IF(N97&gt;1,COUNTIF($N$17:N97,$G$12),0))&lt;0,0,IF($C$8="Yes",IF(N97&gt;1,COUNTIF($N$17:N97,$G$12),0)-1,IF(N97&gt;1,COUNTIF($N$17:N97,$G$12),0)))</f>
        <v>0</v>
      </c>
      <c r="P97" s="39">
        <f>IFERROR(INDEX(Rates!$P$4:$U$13,MATCH($C$7,Rates!$O$4:$O$13,0),MATCH(O97,Rates!$P$2:$U$2,0)),0)</f>
        <v>0</v>
      </c>
      <c r="Q97" s="50">
        <f t="shared" si="26"/>
        <v>0</v>
      </c>
      <c r="R97" s="32"/>
      <c r="S97" s="32"/>
      <c r="W97" s="110" t="str">
        <f t="shared" si="27"/>
        <v>-</v>
      </c>
      <c r="X97" s="111">
        <f t="shared" si="22"/>
        <v>0</v>
      </c>
    </row>
    <row r="98" spans="2:24">
      <c r="B98" s="123" t="str">
        <f t="shared" si="17"/>
        <v>-</v>
      </c>
      <c r="C98" s="123" t="str">
        <f t="shared" si="18"/>
        <v>-</v>
      </c>
      <c r="D98" s="53">
        <f>IFERROR(IF(ROUND(D97,0)&lt;=0,"-",IFERROR(IF(U98="-","-",IFERROR(IF(T98=EOMONTH(T98,-1)+1,SUMIFS($I$17:I97,T$17:T97,"&lt;="&amp;U97,T$17:T97,"&gt;"&amp;EOMONTH(U97,-1)),-E97-F97),0))+D97,0))+X97-X96,0)</f>
        <v>0</v>
      </c>
      <c r="E98" s="53">
        <f>ROUND(($C$5-SUM($E$16:E97))*P98,2)</f>
        <v>0</v>
      </c>
      <c r="F98" s="53">
        <f>IF(Q98=1,SUM($I$16:$I98)-SUM($F$15:F96),IF((IF(E98&gt;0,SUM($I$16:$I98),0))-SUM($F$15:F96)&lt;0,0,(IF(E98&gt;0,SUM($I$16:$I98),0))-SUM($F$15:F96)))</f>
        <v>0</v>
      </c>
      <c r="G98" s="53">
        <f t="shared" ref="G98:G125" si="30">E98+F98</f>
        <v>0</v>
      </c>
      <c r="H98" s="68">
        <f t="shared" si="19"/>
        <v>0</v>
      </c>
      <c r="I98" s="19">
        <f t="shared" si="20"/>
        <v>0</v>
      </c>
      <c r="J98" s="60">
        <f t="shared" ref="J98:J125" si="31">P98</f>
        <v>0</v>
      </c>
      <c r="K98" s="73">
        <f t="shared" si="21"/>
        <v>0</v>
      </c>
      <c r="L98" s="35" cm="1">
        <f t="array" ref="L98">IFERROR(INDEX(Rates!$G$5:$G$117,MATCH(1, (Rates!$C$5:$C$117&lt;=$C98)*(Rates!$D$5:$D$117&gt;=$B98), 0)), 0)</f>
        <v>0</v>
      </c>
      <c r="M98" s="36" t="str">
        <f t="shared" ref="M98:M125" si="32">IF(U98=0,"-",TEXT(U98,"mmmm")&amp;" "&amp;TEXT(U98,"dd"))</f>
        <v>-</v>
      </c>
      <c r="N98" s="37">
        <f t="shared" ref="N98:N125" si="33">IF(M98=$G$12,M98,0)</f>
        <v>0</v>
      </c>
      <c r="O98" s="38">
        <f>IF(IF($C$8="Yes",IF(N98&gt;1,COUNTIF($N$17:N98,$G$12),0)-1,IF(N98&gt;1,COUNTIF($N$17:N98,$G$12),0))&lt;0,0,IF($C$8="Yes",IF(N98&gt;1,COUNTIF($N$17:N98,$G$12),0)-1,IF(N98&gt;1,COUNTIF($N$17:N98,$G$12),0)))</f>
        <v>0</v>
      </c>
      <c r="P98" s="39">
        <f>IFERROR(INDEX(Rates!$P$4:$U$13,MATCH($C$7,Rates!$O$4:$O$13,0),MATCH(O98,Rates!$P$2:$U$2,0)),0)</f>
        <v>0</v>
      </c>
      <c r="Q98" s="50">
        <f t="shared" ref="Q98:Q125" si="34">IF(AND(M98=N98,O98=0),1,0)</f>
        <v>0</v>
      </c>
      <c r="R98" s="32"/>
      <c r="S98" s="32"/>
      <c r="W98" s="110" t="str">
        <f t="shared" ref="W98:W125" si="35">IF(OR(U98="-", U98=0), "-", YEAR(U98))</f>
        <v>-</v>
      </c>
      <c r="X98" s="111">
        <f t="shared" ref="X98:X125" si="36">IF(G98&gt;0,I98,0)</f>
        <v>0</v>
      </c>
    </row>
    <row r="99" spans="2:24">
      <c r="B99" s="123" t="str">
        <f t="shared" si="17"/>
        <v>-</v>
      </c>
      <c r="C99" s="123" t="str">
        <f t="shared" si="18"/>
        <v>-</v>
      </c>
      <c r="D99" s="53">
        <f>IFERROR(IF(ROUND(D98,0)&lt;=0,"-",IFERROR(IF(U99="-","-",IFERROR(IF(T99=EOMONTH(T99,-1)+1,SUMIFS($I$17:I98,T$17:T98,"&lt;="&amp;U98,T$17:T98,"&gt;"&amp;EOMONTH(U98,-1)),-E98-F98),0))+D98,0))+X98-X97,0)</f>
        <v>0</v>
      </c>
      <c r="E99" s="53">
        <f>ROUND(($C$5-SUM($E$16:E98))*P99,2)</f>
        <v>0</v>
      </c>
      <c r="F99" s="53">
        <f>IF(Q99=1,SUM($I$16:$I99)-SUM($F$15:F97),IF((IF(E99&gt;0,SUM($I$16:$I99),0))-SUM($F$15:F97)&lt;0,0,(IF(E99&gt;0,SUM($I$16:$I99),0))-SUM($F$15:F97)))</f>
        <v>0</v>
      </c>
      <c r="G99" s="53">
        <f t="shared" si="30"/>
        <v>0</v>
      </c>
      <c r="H99" s="68">
        <f t="shared" si="19"/>
        <v>0</v>
      </c>
      <c r="I99" s="19">
        <f t="shared" si="20"/>
        <v>0</v>
      </c>
      <c r="J99" s="60">
        <f t="shared" si="31"/>
        <v>0</v>
      </c>
      <c r="K99" s="73">
        <f t="shared" si="21"/>
        <v>0</v>
      </c>
      <c r="L99" s="35" cm="1">
        <f t="array" ref="L99">IFERROR(INDEX(Rates!$G$5:$G$117,MATCH(1, (Rates!$C$5:$C$117&lt;=$C99)*(Rates!$D$5:$D$117&gt;=$B99), 0)), 0)</f>
        <v>0</v>
      </c>
      <c r="M99" s="36" t="str">
        <f t="shared" si="32"/>
        <v>-</v>
      </c>
      <c r="N99" s="37">
        <f t="shared" si="33"/>
        <v>0</v>
      </c>
      <c r="O99" s="38">
        <f>IF(IF($C$8="Yes",IF(N99&gt;1,COUNTIF($N$17:N99,$G$12),0)-1,IF(N99&gt;1,COUNTIF($N$17:N99,$G$12),0))&lt;0,0,IF($C$8="Yes",IF(N99&gt;1,COUNTIF($N$17:N99,$G$12),0)-1,IF(N99&gt;1,COUNTIF($N$17:N99,$G$12),0)))</f>
        <v>0</v>
      </c>
      <c r="P99" s="39">
        <f>IFERROR(INDEX(Rates!$P$4:$U$13,MATCH($C$7,Rates!$O$4:$O$13,0),MATCH(O99,Rates!$P$2:$U$2,0)),0)</f>
        <v>0</v>
      </c>
      <c r="Q99" s="50">
        <f t="shared" si="34"/>
        <v>0</v>
      </c>
      <c r="R99" s="32"/>
      <c r="S99" s="32"/>
      <c r="W99" s="110" t="str">
        <f t="shared" si="35"/>
        <v>-</v>
      </c>
      <c r="X99" s="111">
        <f t="shared" si="36"/>
        <v>0</v>
      </c>
    </row>
    <row r="100" spans="2:24">
      <c r="B100" s="123" t="str">
        <f t="shared" si="17"/>
        <v>-</v>
      </c>
      <c r="C100" s="123" t="str">
        <f t="shared" si="18"/>
        <v>-</v>
      </c>
      <c r="D100" s="53">
        <f>IFERROR(IF(ROUND(D99,0)&lt;=0,"-",IFERROR(IF(U100="-","-",IFERROR(IF(T100=EOMONTH(T100,-1)+1,SUMIFS($I$17:I99,T$17:T99,"&lt;="&amp;U99,T$17:T99,"&gt;"&amp;EOMONTH(U99,-1)),-E99-F99),0))+D99,0))+X99-X98,0)</f>
        <v>0</v>
      </c>
      <c r="E100" s="53">
        <f>ROUND(($C$5-SUM($E$16:E99))*P100,2)</f>
        <v>0</v>
      </c>
      <c r="F100" s="53">
        <f>IF(Q100=1,SUM($I$16:$I100)-SUM($F$15:F98),IF((IF(E100&gt;0,SUM($I$16:$I100),0))-SUM($F$15:F98)&lt;0,0,(IF(E100&gt;0,SUM($I$16:$I100),0))-SUM($F$15:F98)))</f>
        <v>0</v>
      </c>
      <c r="G100" s="53">
        <f t="shared" si="30"/>
        <v>0</v>
      </c>
      <c r="H100" s="68">
        <f t="shared" si="19"/>
        <v>0</v>
      </c>
      <c r="I100" s="19">
        <f t="shared" si="20"/>
        <v>0</v>
      </c>
      <c r="J100" s="60">
        <f t="shared" si="31"/>
        <v>0</v>
      </c>
      <c r="K100" s="73">
        <f t="shared" si="21"/>
        <v>0</v>
      </c>
      <c r="L100" s="35" cm="1">
        <f t="array" ref="L100">IFERROR(INDEX(Rates!$G$5:$G$117,MATCH(1, (Rates!$C$5:$C$117&lt;=$C100)*(Rates!$D$5:$D$117&gt;=$B100), 0)), 0)</f>
        <v>0</v>
      </c>
      <c r="M100" s="36" t="str">
        <f t="shared" si="32"/>
        <v>-</v>
      </c>
      <c r="N100" s="37">
        <f t="shared" si="33"/>
        <v>0</v>
      </c>
      <c r="O100" s="38">
        <f>IF(IF($C$8="Yes",IF(N100&gt;1,COUNTIF($N$17:N100,$G$12),0)-1,IF(N100&gt;1,COUNTIF($N$17:N100,$G$12),0))&lt;0,0,IF($C$8="Yes",IF(N100&gt;1,COUNTIF($N$17:N100,$G$12),0)-1,IF(N100&gt;1,COUNTIF($N$17:N100,$G$12),0)))</f>
        <v>0</v>
      </c>
      <c r="P100" s="39">
        <f>IFERROR(INDEX(Rates!$P$4:$U$13,MATCH($C$7,Rates!$O$4:$O$13,0),MATCH(O100,Rates!$P$2:$U$2,0)),0)</f>
        <v>0</v>
      </c>
      <c r="Q100" s="50">
        <f t="shared" si="34"/>
        <v>0</v>
      </c>
      <c r="R100" s="32"/>
      <c r="S100" s="32"/>
      <c r="W100" s="110" t="str">
        <f t="shared" si="35"/>
        <v>-</v>
      </c>
      <c r="X100" s="111">
        <f t="shared" si="36"/>
        <v>0</v>
      </c>
    </row>
    <row r="101" spans="2:24">
      <c r="B101" s="123" t="str">
        <f t="shared" si="17"/>
        <v>-</v>
      </c>
      <c r="C101" s="123" t="str">
        <f t="shared" si="18"/>
        <v>-</v>
      </c>
      <c r="D101" s="53">
        <f>IFERROR(IF(ROUND(D100,0)&lt;=0,"-",IFERROR(IF(U101="-","-",IFERROR(IF(T101=EOMONTH(T101,-1)+1,SUMIFS($I$17:I100,T$17:T100,"&lt;="&amp;U100,T$17:T100,"&gt;"&amp;EOMONTH(U100,-1)),-E100-F100),0))+D100,0))+X100-X99,0)</f>
        <v>0</v>
      </c>
      <c r="E101" s="53">
        <f>ROUND(($C$5-SUM($E$16:E100))*P101,2)</f>
        <v>0</v>
      </c>
      <c r="F101" s="53">
        <f>IF(Q101=1,SUM($I$16:$I101)-SUM($F$15:F99),IF((IF(E101&gt;0,SUM($I$16:$I101),0))-SUM($F$15:F99)&lt;0,0,(IF(E101&gt;0,SUM($I$16:$I101),0))-SUM($F$15:F99)))</f>
        <v>0</v>
      </c>
      <c r="G101" s="53">
        <f t="shared" si="30"/>
        <v>0</v>
      </c>
      <c r="H101" s="68">
        <f t="shared" si="19"/>
        <v>0</v>
      </c>
      <c r="I101" s="19">
        <f t="shared" si="20"/>
        <v>0</v>
      </c>
      <c r="J101" s="60">
        <f t="shared" si="31"/>
        <v>0</v>
      </c>
      <c r="K101" s="73">
        <f t="shared" si="21"/>
        <v>0</v>
      </c>
      <c r="L101" s="35" cm="1">
        <f t="array" ref="L101">IFERROR(INDEX(Rates!$G$5:$G$117,MATCH(1, (Rates!$C$5:$C$117&lt;=$C101)*(Rates!$D$5:$D$117&gt;=$B101), 0)), 0)</f>
        <v>0</v>
      </c>
      <c r="M101" s="36" t="str">
        <f t="shared" si="32"/>
        <v>-</v>
      </c>
      <c r="N101" s="37">
        <f t="shared" si="33"/>
        <v>0</v>
      </c>
      <c r="O101" s="38">
        <f>IF(IF($C$8="Yes",IF(N101&gt;1,COUNTIF($N$17:N101,$G$12),0)-1,IF(N101&gt;1,COUNTIF($N$17:N101,$G$12),0))&lt;0,0,IF($C$8="Yes",IF(N101&gt;1,COUNTIF($N$17:N101,$G$12),0)-1,IF(N101&gt;1,COUNTIF($N$17:N101,$G$12),0)))</f>
        <v>0</v>
      </c>
      <c r="P101" s="39">
        <f>IFERROR(INDEX(Rates!$P$4:$U$13,MATCH($C$7,Rates!$O$4:$O$13,0),MATCH(O101,Rates!$P$2:$U$2,0)),0)</f>
        <v>0</v>
      </c>
      <c r="Q101" s="50">
        <f t="shared" si="34"/>
        <v>0</v>
      </c>
      <c r="R101" s="32"/>
      <c r="S101" s="32"/>
      <c r="W101" s="110" t="str">
        <f t="shared" si="35"/>
        <v>-</v>
      </c>
      <c r="X101" s="111">
        <f t="shared" si="36"/>
        <v>0</v>
      </c>
    </row>
    <row r="102" spans="2:24">
      <c r="B102" s="123" t="str">
        <f t="shared" si="17"/>
        <v>-</v>
      </c>
      <c r="C102" s="123" t="str">
        <f t="shared" si="18"/>
        <v>-</v>
      </c>
      <c r="D102" s="53">
        <f>IFERROR(IF(ROUND(D101,0)&lt;=0,"-",IFERROR(IF(U102="-","-",IFERROR(IF(T102=EOMONTH(T102,-1)+1,SUMIFS($I$17:I101,T$17:T101,"&lt;="&amp;U101,T$17:T101,"&gt;"&amp;EOMONTH(U101,-1)),-E101-F101),0))+D101,0))+X101-X100,0)</f>
        <v>0</v>
      </c>
      <c r="E102" s="53">
        <f>ROUND(($C$5-SUM($E$16:E101))*P102,2)</f>
        <v>0</v>
      </c>
      <c r="F102" s="53">
        <f>IF(Q102=1,SUM($I$16:$I102)-SUM($F$15:F100),IF((IF(E102&gt;0,SUM($I$16:$I102),0))-SUM($F$15:F100)&lt;0,0,(IF(E102&gt;0,SUM($I$16:$I102),0))-SUM($F$15:F100)))</f>
        <v>0</v>
      </c>
      <c r="G102" s="53">
        <f t="shared" si="30"/>
        <v>0</v>
      </c>
      <c r="H102" s="68">
        <f t="shared" si="19"/>
        <v>0</v>
      </c>
      <c r="I102" s="19">
        <f t="shared" si="20"/>
        <v>0</v>
      </c>
      <c r="J102" s="60">
        <f t="shared" si="31"/>
        <v>0</v>
      </c>
      <c r="K102" s="73">
        <f t="shared" si="21"/>
        <v>0</v>
      </c>
      <c r="L102" s="35" cm="1">
        <f t="array" ref="L102">IFERROR(INDEX(Rates!$G$5:$G$117,MATCH(1, (Rates!$C$5:$C$117&lt;=$C102)*(Rates!$D$5:$D$117&gt;=$B102), 0)), 0)</f>
        <v>0</v>
      </c>
      <c r="M102" s="36" t="str">
        <f t="shared" si="32"/>
        <v>-</v>
      </c>
      <c r="N102" s="37">
        <f t="shared" si="33"/>
        <v>0</v>
      </c>
      <c r="O102" s="38">
        <f>IF(IF($C$8="Yes",IF(N102&gt;1,COUNTIF($N$17:N102,$G$12),0)-1,IF(N102&gt;1,COUNTIF($N$17:N102,$G$12),0))&lt;0,0,IF($C$8="Yes",IF(N102&gt;1,COUNTIF($N$17:N102,$G$12),0)-1,IF(N102&gt;1,COUNTIF($N$17:N102,$G$12),0)))</f>
        <v>0</v>
      </c>
      <c r="P102" s="39">
        <f>IFERROR(INDEX(Rates!$P$4:$U$13,MATCH($C$7,Rates!$O$4:$O$13,0),MATCH(O102,Rates!$P$2:$U$2,0)),0)</f>
        <v>0</v>
      </c>
      <c r="Q102" s="50">
        <f t="shared" si="34"/>
        <v>0</v>
      </c>
      <c r="R102" s="32"/>
      <c r="S102" s="32"/>
      <c r="W102" s="110" t="str">
        <f t="shared" si="35"/>
        <v>-</v>
      </c>
      <c r="X102" s="111">
        <f t="shared" si="36"/>
        <v>0</v>
      </c>
    </row>
    <row r="103" spans="2:24">
      <c r="B103" s="123" t="str">
        <f t="shared" si="17"/>
        <v>-</v>
      </c>
      <c r="C103" s="123" t="str">
        <f t="shared" si="18"/>
        <v>-</v>
      </c>
      <c r="D103" s="53">
        <f>IFERROR(IF(ROUND(D102,0)&lt;=0,"-",IFERROR(IF(U103="-","-",IFERROR(IF(T103=EOMONTH(T103,-1)+1,SUMIFS($I$17:I102,T$17:T102,"&lt;="&amp;U102,T$17:T102,"&gt;"&amp;EOMONTH(U102,-1)),-E102-F102),0))+D102,0))+X102-X101,0)</f>
        <v>0</v>
      </c>
      <c r="E103" s="53">
        <f>ROUND(($C$5-SUM($E$16:E102))*P103,2)</f>
        <v>0</v>
      </c>
      <c r="F103" s="53">
        <f>IF(Q103=1,SUM($I$16:$I103)-SUM($F$15:F101),IF((IF(E103&gt;0,SUM($I$16:$I103),0))-SUM($F$15:F101)&lt;0,0,(IF(E103&gt;0,SUM($I$16:$I103),0))-SUM($F$15:F101)))</f>
        <v>0</v>
      </c>
      <c r="G103" s="53">
        <f t="shared" si="30"/>
        <v>0</v>
      </c>
      <c r="H103" s="68">
        <f t="shared" si="19"/>
        <v>0</v>
      </c>
      <c r="I103" s="19">
        <f t="shared" si="20"/>
        <v>0</v>
      </c>
      <c r="J103" s="60">
        <f t="shared" si="31"/>
        <v>0</v>
      </c>
      <c r="K103" s="73">
        <f t="shared" si="21"/>
        <v>0</v>
      </c>
      <c r="L103" s="35" cm="1">
        <f t="array" ref="L103">IFERROR(INDEX(Rates!$G$5:$G$117,MATCH(1, (Rates!$C$5:$C$117&lt;=$C103)*(Rates!$D$5:$D$117&gt;=$B103), 0)), 0)</f>
        <v>0</v>
      </c>
      <c r="M103" s="36" t="str">
        <f t="shared" si="32"/>
        <v>-</v>
      </c>
      <c r="N103" s="37">
        <f t="shared" si="33"/>
        <v>0</v>
      </c>
      <c r="O103" s="38">
        <f>IF(IF($C$8="Yes",IF(N103&gt;1,COUNTIF($N$17:N103,$G$12),0)-1,IF(N103&gt;1,COUNTIF($N$17:N103,$G$12),0))&lt;0,0,IF($C$8="Yes",IF(N103&gt;1,COUNTIF($N$17:N103,$G$12),0)-1,IF(N103&gt;1,COUNTIF($N$17:N103,$G$12),0)))</f>
        <v>0</v>
      </c>
      <c r="P103" s="39">
        <f>IFERROR(INDEX(Rates!$P$4:$U$13,MATCH($C$7,Rates!$O$4:$O$13,0),MATCH(O103,Rates!$P$2:$U$2,0)),0)</f>
        <v>0</v>
      </c>
      <c r="Q103" s="50">
        <f t="shared" si="34"/>
        <v>0</v>
      </c>
      <c r="R103" s="32"/>
      <c r="S103" s="32"/>
      <c r="W103" s="110" t="str">
        <f t="shared" si="35"/>
        <v>-</v>
      </c>
      <c r="X103" s="111">
        <f t="shared" si="36"/>
        <v>0</v>
      </c>
    </row>
    <row r="104" spans="2:24">
      <c r="B104" s="123" t="str">
        <f t="shared" si="17"/>
        <v>-</v>
      </c>
      <c r="C104" s="123" t="str">
        <f t="shared" si="18"/>
        <v>-</v>
      </c>
      <c r="D104" s="53">
        <f>IFERROR(IF(ROUND(D103,0)&lt;=0,"-",IFERROR(IF(U104="-","-",IFERROR(IF(T104=EOMONTH(T104,-1)+1,SUMIFS($I$17:I103,T$17:T103,"&lt;="&amp;U103,T$17:T103,"&gt;"&amp;EOMONTH(U103,-1)),-E103-F103),0))+D103,0))+X103-X102,0)</f>
        <v>0</v>
      </c>
      <c r="E104" s="53">
        <f>ROUND(($C$5-SUM($E$16:E103))*P104,2)</f>
        <v>0</v>
      </c>
      <c r="F104" s="53">
        <f>IF(Q104=1,SUM($I$16:$I104)-SUM($F$15:F102),IF((IF(E104&gt;0,SUM($I$16:$I104),0))-SUM($F$15:F102)&lt;0,0,(IF(E104&gt;0,SUM($I$16:$I104),0))-SUM($F$15:F102)))</f>
        <v>0</v>
      </c>
      <c r="G104" s="53">
        <f t="shared" si="30"/>
        <v>0</v>
      </c>
      <c r="H104" s="68">
        <f t="shared" si="19"/>
        <v>0</v>
      </c>
      <c r="I104" s="19">
        <f t="shared" si="20"/>
        <v>0</v>
      </c>
      <c r="J104" s="60">
        <f t="shared" si="31"/>
        <v>0</v>
      </c>
      <c r="K104" s="73">
        <f t="shared" si="21"/>
        <v>0</v>
      </c>
      <c r="L104" s="35" cm="1">
        <f t="array" ref="L104">IFERROR(INDEX(Rates!$G$5:$G$117,MATCH(1, (Rates!$C$5:$C$117&lt;=$C104)*(Rates!$D$5:$D$117&gt;=$B104), 0)), 0)</f>
        <v>0</v>
      </c>
      <c r="M104" s="36" t="str">
        <f t="shared" si="32"/>
        <v>-</v>
      </c>
      <c r="N104" s="37">
        <f t="shared" si="33"/>
        <v>0</v>
      </c>
      <c r="O104" s="38">
        <f>IF(IF($C$8="Yes",IF(N104&gt;1,COUNTIF($N$17:N104,$G$12),0)-1,IF(N104&gt;1,COUNTIF($N$17:N104,$G$12),0))&lt;0,0,IF($C$8="Yes",IF(N104&gt;1,COUNTIF($N$17:N104,$G$12),0)-1,IF(N104&gt;1,COUNTIF($N$17:N104,$G$12),0)))</f>
        <v>0</v>
      </c>
      <c r="P104" s="39">
        <f>IFERROR(INDEX(Rates!$P$4:$U$13,MATCH($C$7,Rates!$O$4:$O$13,0),MATCH(O104,Rates!$P$2:$U$2,0)),0)</f>
        <v>0</v>
      </c>
      <c r="Q104" s="50">
        <f t="shared" si="34"/>
        <v>0</v>
      </c>
      <c r="R104" s="32"/>
      <c r="S104" s="32"/>
      <c r="W104" s="110" t="str">
        <f t="shared" si="35"/>
        <v>-</v>
      </c>
      <c r="X104" s="111">
        <f t="shared" si="36"/>
        <v>0</v>
      </c>
    </row>
    <row r="105" spans="2:24">
      <c r="B105" s="123" t="str">
        <f t="shared" si="17"/>
        <v>-</v>
      </c>
      <c r="C105" s="123" t="str">
        <f t="shared" si="18"/>
        <v>-</v>
      </c>
      <c r="D105" s="53">
        <f>IFERROR(IF(ROUND(D104,0)&lt;=0,"-",IFERROR(IF(U105="-","-",IFERROR(IF(T105=EOMONTH(T105,-1)+1,SUMIFS($I$17:I104,T$17:T104,"&lt;="&amp;U104,T$17:T104,"&gt;"&amp;EOMONTH(U104,-1)),-E104-F104),0))+D104,0))+X104-X103,0)</f>
        <v>0</v>
      </c>
      <c r="E105" s="53">
        <f>ROUND(($C$5-SUM($E$16:E104))*P105,2)</f>
        <v>0</v>
      </c>
      <c r="F105" s="53">
        <f>IF(Q105=1,SUM($I$16:$I105)-SUM($F$15:F103),IF((IF(E105&gt;0,SUM($I$16:$I105),0))-SUM($F$15:F103)&lt;0,0,(IF(E105&gt;0,SUM($I$16:$I105),0))-SUM($F$15:F103)))</f>
        <v>0</v>
      </c>
      <c r="G105" s="53">
        <f t="shared" si="30"/>
        <v>0</v>
      </c>
      <c r="H105" s="68">
        <f t="shared" si="19"/>
        <v>0</v>
      </c>
      <c r="I105" s="19">
        <f t="shared" si="20"/>
        <v>0</v>
      </c>
      <c r="J105" s="60">
        <f t="shared" si="31"/>
        <v>0</v>
      </c>
      <c r="K105" s="73">
        <f t="shared" si="21"/>
        <v>0</v>
      </c>
      <c r="L105" s="35" cm="1">
        <f t="array" ref="L105">IFERROR(INDEX(Rates!$G$5:$G$117,MATCH(1, (Rates!$C$5:$C$117&lt;=$C105)*(Rates!$D$5:$D$117&gt;=$B105), 0)), 0)</f>
        <v>0</v>
      </c>
      <c r="M105" s="36" t="str">
        <f t="shared" si="32"/>
        <v>-</v>
      </c>
      <c r="N105" s="37">
        <f t="shared" si="33"/>
        <v>0</v>
      </c>
      <c r="O105" s="38">
        <f>IF(IF($C$8="Yes",IF(N105&gt;1,COUNTIF($N$17:N105,$G$12),0)-1,IF(N105&gt;1,COUNTIF($N$17:N105,$G$12),0))&lt;0,0,IF($C$8="Yes",IF(N105&gt;1,COUNTIF($N$17:N105,$G$12),0)-1,IF(N105&gt;1,COUNTIF($N$17:N105,$G$12),0)))</f>
        <v>0</v>
      </c>
      <c r="P105" s="39">
        <f>IFERROR(INDEX(Rates!$P$4:$U$13,MATCH($C$7,Rates!$O$4:$O$13,0),MATCH(O105,Rates!$P$2:$U$2,0)),0)</f>
        <v>0</v>
      </c>
      <c r="Q105" s="50">
        <f t="shared" si="34"/>
        <v>0</v>
      </c>
      <c r="R105" s="32"/>
      <c r="S105" s="32"/>
      <c r="W105" s="110" t="str">
        <f t="shared" si="35"/>
        <v>-</v>
      </c>
      <c r="X105" s="111">
        <f t="shared" si="36"/>
        <v>0</v>
      </c>
    </row>
    <row r="106" spans="2:24">
      <c r="B106" s="123" t="str">
        <f t="shared" si="17"/>
        <v>-</v>
      </c>
      <c r="C106" s="123" t="str">
        <f t="shared" si="18"/>
        <v>-</v>
      </c>
      <c r="D106" s="53">
        <f>IFERROR(IF(ROUND(D105,0)&lt;=0,"-",IFERROR(IF(U106="-","-",IFERROR(IF(T106=EOMONTH(T106,-1)+1,SUMIFS($I$17:I105,T$17:T105,"&lt;="&amp;U105,T$17:T105,"&gt;"&amp;EOMONTH(U105,-1)),-E105-F105),0))+D105,0))+X105-X104,0)</f>
        <v>0</v>
      </c>
      <c r="E106" s="53">
        <f>ROUND(($C$5-SUM($E$16:E105))*P106,2)</f>
        <v>0</v>
      </c>
      <c r="F106" s="53">
        <f>IF(Q106=1,SUM($I$16:$I106)-SUM($F$15:F104),IF((IF(E106&gt;0,SUM($I$16:$I106),0))-SUM($F$15:F104)&lt;0,0,(IF(E106&gt;0,SUM($I$16:$I106),0))-SUM($F$15:F104)))</f>
        <v>0</v>
      </c>
      <c r="G106" s="53">
        <f t="shared" si="30"/>
        <v>0</v>
      </c>
      <c r="H106" s="68">
        <f t="shared" si="19"/>
        <v>0</v>
      </c>
      <c r="I106" s="19">
        <f t="shared" si="20"/>
        <v>0</v>
      </c>
      <c r="J106" s="60">
        <f t="shared" si="31"/>
        <v>0</v>
      </c>
      <c r="K106" s="73">
        <f t="shared" si="21"/>
        <v>0</v>
      </c>
      <c r="L106" s="35" cm="1">
        <f t="array" ref="L106">IFERROR(INDEX(Rates!$G$5:$G$117,MATCH(1, (Rates!$C$5:$C$117&lt;=$C106)*(Rates!$D$5:$D$117&gt;=$B106), 0)), 0)</f>
        <v>0</v>
      </c>
      <c r="M106" s="36" t="str">
        <f t="shared" si="32"/>
        <v>-</v>
      </c>
      <c r="N106" s="37">
        <f t="shared" si="33"/>
        <v>0</v>
      </c>
      <c r="O106" s="38">
        <f>IF(IF($C$8="Yes",IF(N106&gt;1,COUNTIF($N$17:N106,$G$12),0)-1,IF(N106&gt;1,COUNTIF($N$17:N106,$G$12),0))&lt;0,0,IF($C$8="Yes",IF(N106&gt;1,COUNTIF($N$17:N106,$G$12),0)-1,IF(N106&gt;1,COUNTIF($N$17:N106,$G$12),0)))</f>
        <v>0</v>
      </c>
      <c r="P106" s="39">
        <f>IFERROR(INDEX(Rates!$P$4:$U$13,MATCH($C$7,Rates!$O$4:$O$13,0),MATCH(O106,Rates!$P$2:$U$2,0)),0)</f>
        <v>0</v>
      </c>
      <c r="Q106" s="50">
        <f t="shared" si="34"/>
        <v>0</v>
      </c>
      <c r="R106" s="32"/>
      <c r="S106" s="32"/>
      <c r="W106" s="110" t="str">
        <f t="shared" si="35"/>
        <v>-</v>
      </c>
      <c r="X106" s="111">
        <f t="shared" si="36"/>
        <v>0</v>
      </c>
    </row>
    <row r="107" spans="2:24">
      <c r="B107" s="123" t="str">
        <f t="shared" si="17"/>
        <v>-</v>
      </c>
      <c r="C107" s="123" t="str">
        <f t="shared" si="18"/>
        <v>-</v>
      </c>
      <c r="D107" s="53">
        <f>IFERROR(IF(ROUND(D106,0)&lt;=0,"-",IFERROR(IF(U107="-","-",IFERROR(IF(T107=EOMONTH(T107,-1)+1,SUMIFS($I$17:I106,T$17:T106,"&lt;="&amp;U106,T$17:T106,"&gt;"&amp;EOMONTH(U106,-1)),-E106-F106),0))+D106,0))+X106-X105,0)</f>
        <v>0</v>
      </c>
      <c r="E107" s="53">
        <f>ROUND(($C$5-SUM($E$16:E106))*P107,2)</f>
        <v>0</v>
      </c>
      <c r="F107" s="53">
        <f>IF(Q107=1,SUM($I$16:$I107)-SUM($F$15:F105),IF((IF(E107&gt;0,SUM($I$16:$I107),0))-SUM($F$15:F105)&lt;0,0,(IF(E107&gt;0,SUM($I$16:$I107),0))-SUM($F$15:F105)))</f>
        <v>0</v>
      </c>
      <c r="G107" s="53">
        <f t="shared" si="30"/>
        <v>0</v>
      </c>
      <c r="H107" s="68">
        <f t="shared" si="19"/>
        <v>0</v>
      </c>
      <c r="I107" s="19">
        <f t="shared" si="20"/>
        <v>0</v>
      </c>
      <c r="J107" s="60">
        <f t="shared" si="31"/>
        <v>0</v>
      </c>
      <c r="K107" s="73">
        <f t="shared" si="21"/>
        <v>0</v>
      </c>
      <c r="L107" s="35" cm="1">
        <f t="array" ref="L107">IFERROR(INDEX(Rates!$G$5:$G$117,MATCH(1, (Rates!$C$5:$C$117&lt;=$C107)*(Rates!$D$5:$D$117&gt;=$B107), 0)), 0)</f>
        <v>0</v>
      </c>
      <c r="M107" s="36" t="str">
        <f t="shared" si="32"/>
        <v>-</v>
      </c>
      <c r="N107" s="37">
        <f t="shared" si="33"/>
        <v>0</v>
      </c>
      <c r="O107" s="38">
        <f>IF(IF($C$8="Yes",IF(N107&gt;1,COUNTIF($N$17:N107,$G$12),0)-1,IF(N107&gt;1,COUNTIF($N$17:N107,$G$12),0))&lt;0,0,IF($C$8="Yes",IF(N107&gt;1,COUNTIF($N$17:N107,$G$12),0)-1,IF(N107&gt;1,COUNTIF($N$17:N107,$G$12),0)))</f>
        <v>0</v>
      </c>
      <c r="P107" s="39">
        <f>IFERROR(INDEX(Rates!$P$4:$U$13,MATCH($C$7,Rates!$O$4:$O$13,0),MATCH(O107,Rates!$P$2:$U$2,0)),0)</f>
        <v>0</v>
      </c>
      <c r="Q107" s="50">
        <f t="shared" si="34"/>
        <v>0</v>
      </c>
      <c r="R107" s="32"/>
      <c r="S107" s="32"/>
      <c r="W107" s="110" t="str">
        <f t="shared" si="35"/>
        <v>-</v>
      </c>
      <c r="X107" s="111">
        <f t="shared" si="36"/>
        <v>0</v>
      </c>
    </row>
    <row r="108" spans="2:24">
      <c r="B108" s="123" t="str">
        <f t="shared" si="17"/>
        <v>-</v>
      </c>
      <c r="C108" s="123" t="str">
        <f t="shared" si="18"/>
        <v>-</v>
      </c>
      <c r="D108" s="53">
        <f>IFERROR(IF(ROUND(D107,0)&lt;=0,"-",IFERROR(IF(U108="-","-",IFERROR(IF(T108=EOMONTH(T108,-1)+1,SUMIFS($I$17:I107,T$17:T107,"&lt;="&amp;U107,T$17:T107,"&gt;"&amp;EOMONTH(U107,-1)),-E107-F107),0))+D107,0))+X107-X106,0)</f>
        <v>0</v>
      </c>
      <c r="E108" s="53">
        <f>ROUND(($C$5-SUM($E$16:E107))*P108,2)</f>
        <v>0</v>
      </c>
      <c r="F108" s="53">
        <f>IF(Q108=1,SUM($I$16:$I108)-SUM($F$15:F106),IF((IF(E108&gt;0,SUM($I$16:$I108),0))-SUM($F$15:F106)&lt;0,0,(IF(E108&gt;0,SUM($I$16:$I108),0))-SUM($F$15:F106)))</f>
        <v>0</v>
      </c>
      <c r="G108" s="53">
        <f t="shared" si="30"/>
        <v>0</v>
      </c>
      <c r="H108" s="68">
        <f t="shared" si="19"/>
        <v>0</v>
      </c>
      <c r="I108" s="19">
        <f t="shared" si="20"/>
        <v>0</v>
      </c>
      <c r="J108" s="60">
        <f t="shared" si="31"/>
        <v>0</v>
      </c>
      <c r="K108" s="73">
        <f t="shared" si="21"/>
        <v>0</v>
      </c>
      <c r="L108" s="35" cm="1">
        <f t="array" ref="L108">IFERROR(INDEX(Rates!$G$5:$G$117,MATCH(1, (Rates!$C$5:$C$117&lt;=$C108)*(Rates!$D$5:$D$117&gt;=$B108), 0)), 0)</f>
        <v>0</v>
      </c>
      <c r="M108" s="36" t="str">
        <f t="shared" si="32"/>
        <v>-</v>
      </c>
      <c r="N108" s="37">
        <f t="shared" si="33"/>
        <v>0</v>
      </c>
      <c r="O108" s="38">
        <f>IF(IF($C$8="Yes",IF(N108&gt;1,COUNTIF($N$17:N108,$G$12),0)-1,IF(N108&gt;1,COUNTIF($N$17:N108,$G$12),0))&lt;0,0,IF($C$8="Yes",IF(N108&gt;1,COUNTIF($N$17:N108,$G$12),0)-1,IF(N108&gt;1,COUNTIF($N$17:N108,$G$12),0)))</f>
        <v>0</v>
      </c>
      <c r="P108" s="39">
        <f>IFERROR(INDEX(Rates!$P$4:$U$13,MATCH($C$7,Rates!$O$4:$O$13,0),MATCH(O108,Rates!$P$2:$U$2,0)),0)</f>
        <v>0</v>
      </c>
      <c r="Q108" s="50">
        <f t="shared" si="34"/>
        <v>0</v>
      </c>
      <c r="R108" s="32"/>
      <c r="S108" s="32"/>
      <c r="W108" s="110" t="str">
        <f t="shared" si="35"/>
        <v>-</v>
      </c>
      <c r="X108" s="111">
        <f t="shared" si="36"/>
        <v>0</v>
      </c>
    </row>
    <row r="109" spans="2:24">
      <c r="B109" s="123" t="str">
        <f t="shared" si="17"/>
        <v>-</v>
      </c>
      <c r="C109" s="123" t="str">
        <f t="shared" si="18"/>
        <v>-</v>
      </c>
      <c r="D109" s="53">
        <f>IFERROR(IF(ROUND(D108,0)&lt;=0,"-",IFERROR(IF(U109="-","-",IFERROR(IF(T109=EOMONTH(T109,-1)+1,SUMIFS($I$17:I108,T$17:T108,"&lt;="&amp;U108,T$17:T108,"&gt;"&amp;EOMONTH(U108,-1)),-E108-F108),0))+D108,0))+X108-X107,0)</f>
        <v>0</v>
      </c>
      <c r="E109" s="53">
        <f>ROUND(($C$5-SUM($E$16:E108))*P109,2)</f>
        <v>0</v>
      </c>
      <c r="F109" s="53">
        <f>IF(Q109=1,SUM($I$16:$I109)-SUM($F$15:F107),IF((IF(E109&gt;0,SUM($I$16:$I109),0))-SUM($F$15:F107)&lt;0,0,(IF(E109&gt;0,SUM($I$16:$I109),0))-SUM($F$15:F107)))</f>
        <v>0</v>
      </c>
      <c r="G109" s="53">
        <f t="shared" si="30"/>
        <v>0</v>
      </c>
      <c r="H109" s="68">
        <f t="shared" si="19"/>
        <v>0</v>
      </c>
      <c r="I109" s="19">
        <f t="shared" si="20"/>
        <v>0</v>
      </c>
      <c r="J109" s="60">
        <f t="shared" si="31"/>
        <v>0</v>
      </c>
      <c r="K109" s="73">
        <f t="shared" si="21"/>
        <v>0</v>
      </c>
      <c r="L109" s="35" cm="1">
        <f t="array" ref="L109">IFERROR(INDEX(Rates!$G$5:$G$117,MATCH(1, (Rates!$C$5:$C$117&lt;=$C109)*(Rates!$D$5:$D$117&gt;=$B109), 0)), 0)</f>
        <v>0</v>
      </c>
      <c r="M109" s="36" t="str">
        <f t="shared" si="32"/>
        <v>-</v>
      </c>
      <c r="N109" s="37">
        <f t="shared" si="33"/>
        <v>0</v>
      </c>
      <c r="O109" s="38">
        <f>IF(IF($C$8="Yes",IF(N109&gt;1,COUNTIF($N$17:N109,$G$12),0)-1,IF(N109&gt;1,COUNTIF($N$17:N109,$G$12),0))&lt;0,0,IF($C$8="Yes",IF(N109&gt;1,COUNTIF($N$17:N109,$G$12),0)-1,IF(N109&gt;1,COUNTIF($N$17:N109,$G$12),0)))</f>
        <v>0</v>
      </c>
      <c r="P109" s="39">
        <f>IFERROR(INDEX(Rates!$P$4:$U$13,MATCH($C$7,Rates!$O$4:$O$13,0),MATCH(O109,Rates!$P$2:$U$2,0)),0)</f>
        <v>0</v>
      </c>
      <c r="Q109" s="50">
        <f t="shared" si="34"/>
        <v>0</v>
      </c>
      <c r="R109" s="32"/>
      <c r="S109" s="32"/>
      <c r="W109" s="110" t="str">
        <f t="shared" si="35"/>
        <v>-</v>
      </c>
      <c r="X109" s="111">
        <f t="shared" si="36"/>
        <v>0</v>
      </c>
    </row>
    <row r="110" spans="2:24">
      <c r="B110" s="123" t="str">
        <f t="shared" si="17"/>
        <v>-</v>
      </c>
      <c r="C110" s="123" t="str">
        <f t="shared" si="18"/>
        <v>-</v>
      </c>
      <c r="D110" s="53">
        <f>IFERROR(IF(ROUND(D109,0)&lt;=0,"-",IFERROR(IF(U110="-","-",IFERROR(IF(T110=EOMONTH(T110,-1)+1,SUMIFS($I$17:I109,T$17:T109,"&lt;="&amp;U109,T$17:T109,"&gt;"&amp;EOMONTH(U109,-1)),-E109-F109),0))+D109,0))+X109-X108,0)</f>
        <v>0</v>
      </c>
      <c r="E110" s="53">
        <f>ROUND(($C$5-SUM($E$16:E109))*P110,2)</f>
        <v>0</v>
      </c>
      <c r="F110" s="53">
        <f>IF(Q110=1,SUM($I$16:$I110)-SUM($F$15:F108),IF((IF(E110&gt;0,SUM($I$16:$I110),0))-SUM($F$15:F108)&lt;0,0,(IF(E110&gt;0,SUM($I$16:$I110),0))-SUM($F$15:F108)))</f>
        <v>0</v>
      </c>
      <c r="G110" s="53">
        <f t="shared" si="30"/>
        <v>0</v>
      </c>
      <c r="H110" s="68">
        <f t="shared" si="19"/>
        <v>0</v>
      </c>
      <c r="I110" s="19">
        <f t="shared" si="20"/>
        <v>0</v>
      </c>
      <c r="J110" s="60">
        <f t="shared" si="31"/>
        <v>0</v>
      </c>
      <c r="K110" s="73">
        <f t="shared" si="21"/>
        <v>0</v>
      </c>
      <c r="L110" s="35" cm="1">
        <f t="array" ref="L110">IFERROR(INDEX(Rates!$G$5:$G$117,MATCH(1, (Rates!$C$5:$C$117&lt;=$C110)*(Rates!$D$5:$D$117&gt;=$B110), 0)), 0)</f>
        <v>0</v>
      </c>
      <c r="M110" s="36" t="str">
        <f t="shared" si="32"/>
        <v>-</v>
      </c>
      <c r="N110" s="37">
        <f t="shared" si="33"/>
        <v>0</v>
      </c>
      <c r="O110" s="38">
        <f>IF(IF($C$8="Yes",IF(N110&gt;1,COUNTIF($N$17:N110,$G$12),0)-1,IF(N110&gt;1,COUNTIF($N$17:N110,$G$12),0))&lt;0,0,IF($C$8="Yes",IF(N110&gt;1,COUNTIF($N$17:N110,$G$12),0)-1,IF(N110&gt;1,COUNTIF($N$17:N110,$G$12),0)))</f>
        <v>0</v>
      </c>
      <c r="P110" s="39">
        <f>IFERROR(INDEX(Rates!$P$4:$U$13,MATCH($C$7,Rates!$O$4:$O$13,0),MATCH(O110,Rates!$P$2:$U$2,0)),0)</f>
        <v>0</v>
      </c>
      <c r="Q110" s="50">
        <f t="shared" si="34"/>
        <v>0</v>
      </c>
      <c r="R110" s="32"/>
      <c r="S110" s="32"/>
      <c r="W110" s="110" t="str">
        <f t="shared" si="35"/>
        <v>-</v>
      </c>
      <c r="X110" s="111">
        <f t="shared" si="36"/>
        <v>0</v>
      </c>
    </row>
    <row r="111" spans="2:24">
      <c r="B111" s="123" t="str">
        <f t="shared" si="17"/>
        <v>-</v>
      </c>
      <c r="C111" s="123" t="str">
        <f t="shared" si="18"/>
        <v>-</v>
      </c>
      <c r="D111" s="53">
        <f>IFERROR(IF(ROUND(D110,0)&lt;=0,"-",IFERROR(IF(U111="-","-",IFERROR(IF(T111=EOMONTH(T111,-1)+1,SUMIFS($I$17:I110,T$17:T110,"&lt;="&amp;U110,T$17:T110,"&gt;"&amp;EOMONTH(U110,-1)),-E110-F110),0))+D110,0))+X110-X109,0)</f>
        <v>0</v>
      </c>
      <c r="E111" s="53">
        <f>ROUND(($C$5-SUM($E$16:E110))*P111,2)</f>
        <v>0</v>
      </c>
      <c r="F111" s="53">
        <f>IF(Q111=1,SUM($I$16:$I111)-SUM($F$15:F109),IF((IF(E111&gt;0,SUM($I$16:$I111),0))-SUM($F$15:F109)&lt;0,0,(IF(E111&gt;0,SUM($I$16:$I111),0))-SUM($F$15:F109)))</f>
        <v>0</v>
      </c>
      <c r="G111" s="53">
        <f t="shared" si="30"/>
        <v>0</v>
      </c>
      <c r="H111" s="68">
        <f t="shared" si="19"/>
        <v>0</v>
      </c>
      <c r="I111" s="19">
        <f t="shared" si="20"/>
        <v>0</v>
      </c>
      <c r="J111" s="60">
        <f t="shared" si="31"/>
        <v>0</v>
      </c>
      <c r="K111" s="73">
        <f t="shared" si="21"/>
        <v>0</v>
      </c>
      <c r="L111" s="35" cm="1">
        <f t="array" ref="L111">IFERROR(INDEX(Rates!$G$5:$G$117,MATCH(1, (Rates!$C$5:$C$117&lt;=$C111)*(Rates!$D$5:$D$117&gt;=$B111), 0)), 0)</f>
        <v>0</v>
      </c>
      <c r="M111" s="36" t="str">
        <f t="shared" si="32"/>
        <v>-</v>
      </c>
      <c r="N111" s="37">
        <f t="shared" si="33"/>
        <v>0</v>
      </c>
      <c r="O111" s="38">
        <f>IF(IF($C$8="Yes",IF(N111&gt;1,COUNTIF($N$17:N111,$G$12),0)-1,IF(N111&gt;1,COUNTIF($N$17:N111,$G$12),0))&lt;0,0,IF($C$8="Yes",IF(N111&gt;1,COUNTIF($N$17:N111,$G$12),0)-1,IF(N111&gt;1,COUNTIF($N$17:N111,$G$12),0)))</f>
        <v>0</v>
      </c>
      <c r="P111" s="39">
        <f>IFERROR(INDEX(Rates!$P$4:$U$13,MATCH($C$7,Rates!$O$4:$O$13,0),MATCH(O111,Rates!$P$2:$U$2,0)),0)</f>
        <v>0</v>
      </c>
      <c r="Q111" s="50">
        <f t="shared" si="34"/>
        <v>0</v>
      </c>
      <c r="R111" s="32"/>
      <c r="S111" s="32"/>
      <c r="W111" s="110" t="str">
        <f t="shared" si="35"/>
        <v>-</v>
      </c>
      <c r="X111" s="111">
        <f t="shared" si="36"/>
        <v>0</v>
      </c>
    </row>
    <row r="112" spans="2:24">
      <c r="B112" s="123" t="str">
        <f t="shared" si="17"/>
        <v>-</v>
      </c>
      <c r="C112" s="123" t="str">
        <f t="shared" si="18"/>
        <v>-</v>
      </c>
      <c r="D112" s="53">
        <f>IFERROR(IF(ROUND(D111,0)&lt;=0,"-",IFERROR(IF(U112="-","-",IFERROR(IF(T112=EOMONTH(T112,-1)+1,SUMIFS($I$17:I111,T$17:T111,"&lt;="&amp;U111,T$17:T111,"&gt;"&amp;EOMONTH(U111,-1)),-E111-F111),0))+D111,0))+X111-X110,0)</f>
        <v>0</v>
      </c>
      <c r="E112" s="53">
        <f>ROUND(($C$5-SUM($E$16:E111))*P112,2)</f>
        <v>0</v>
      </c>
      <c r="F112" s="53">
        <f>IF(Q112=1,SUM($I$16:$I112)-SUM($F$15:F110),IF((IF(E112&gt;0,SUM($I$16:$I112),0))-SUM($F$15:F110)&lt;0,0,(IF(E112&gt;0,SUM($I$16:$I112),0))-SUM($F$15:F110)))</f>
        <v>0</v>
      </c>
      <c r="G112" s="53">
        <f t="shared" si="30"/>
        <v>0</v>
      </c>
      <c r="H112" s="68">
        <f t="shared" si="19"/>
        <v>0</v>
      </c>
      <c r="I112" s="19">
        <f t="shared" si="20"/>
        <v>0</v>
      </c>
      <c r="J112" s="60">
        <f t="shared" si="31"/>
        <v>0</v>
      </c>
      <c r="K112" s="73">
        <f t="shared" si="21"/>
        <v>0</v>
      </c>
      <c r="L112" s="35" cm="1">
        <f t="array" ref="L112">IFERROR(INDEX(Rates!$G$5:$G$117,MATCH(1, (Rates!$C$5:$C$117&lt;=$C112)*(Rates!$D$5:$D$117&gt;=$B112), 0)), 0)</f>
        <v>0</v>
      </c>
      <c r="M112" s="36" t="str">
        <f t="shared" si="32"/>
        <v>-</v>
      </c>
      <c r="N112" s="37">
        <f t="shared" si="33"/>
        <v>0</v>
      </c>
      <c r="O112" s="38">
        <f>IF(IF($C$8="Yes",IF(N112&gt;1,COUNTIF($N$17:N112,$G$12),0)-1,IF(N112&gt;1,COUNTIF($N$17:N112,$G$12),0))&lt;0,0,IF($C$8="Yes",IF(N112&gt;1,COUNTIF($N$17:N112,$G$12),0)-1,IF(N112&gt;1,COUNTIF($N$17:N112,$G$12),0)))</f>
        <v>0</v>
      </c>
      <c r="P112" s="39">
        <f>IFERROR(INDEX(Rates!$P$4:$U$13,MATCH($C$7,Rates!$O$4:$O$13,0),MATCH(O112,Rates!$P$2:$U$2,0)),0)</f>
        <v>0</v>
      </c>
      <c r="Q112" s="50">
        <f t="shared" si="34"/>
        <v>0</v>
      </c>
      <c r="R112" s="32"/>
      <c r="S112" s="32"/>
      <c r="W112" s="110" t="str">
        <f t="shared" si="35"/>
        <v>-</v>
      </c>
      <c r="X112" s="111">
        <f t="shared" si="36"/>
        <v>0</v>
      </c>
    </row>
    <row r="113" spans="2:24">
      <c r="B113" s="123" t="str">
        <f t="shared" ref="B113:B125" si="37">IF(B112="-","-",IF(D113&gt;0,T113,"-"))</f>
        <v>-</v>
      </c>
      <c r="C113" s="123" t="str">
        <f t="shared" ref="C113:C125" si="38">IF(C112="-","-",IF(D113&gt;0,U113,"-"))</f>
        <v>-</v>
      </c>
      <c r="D113" s="53">
        <f>IFERROR(IF(ROUND(D112,0)&lt;=0,"-",IFERROR(IF(U113="-","-",IFERROR(IF(T113=EOMONTH(T113,-1)+1,SUMIFS($I$17:I112,T$17:T112,"&lt;="&amp;U112,T$17:T112,"&gt;"&amp;EOMONTH(U112,-1)),-E112-F112),0))+D112,0))+X112-X111,0)</f>
        <v>0</v>
      </c>
      <c r="E113" s="53">
        <f>ROUND(($C$5-SUM($E$16:E112))*P113,2)</f>
        <v>0</v>
      </c>
      <c r="F113" s="53">
        <f>IF(Q113=1,SUM($I$16:$I113)-SUM($F$15:F111),IF((IF(E113&gt;0,SUM($I$16:$I113),0))-SUM($F$15:F111)&lt;0,0,(IF(E113&gt;0,SUM($I$16:$I113),0))-SUM($F$15:F111)))</f>
        <v>0</v>
      </c>
      <c r="G113" s="53">
        <f t="shared" si="30"/>
        <v>0</v>
      </c>
      <c r="H113" s="68">
        <f t="shared" si="19"/>
        <v>0</v>
      </c>
      <c r="I113" s="19">
        <f t="shared" ref="I113:I125" si="39">IFERROR(L113*H113*D113/100,0)</f>
        <v>0</v>
      </c>
      <c r="J113" s="60">
        <f t="shared" si="31"/>
        <v>0</v>
      </c>
      <c r="K113" s="73">
        <f t="shared" ref="K113:K125" si="40">IF(I113&lt;=0,0,1)</f>
        <v>0</v>
      </c>
      <c r="L113" s="35" cm="1">
        <f t="array" ref="L113">IFERROR(INDEX(Rates!$G$5:$G$117,MATCH(1, (Rates!$C$5:$C$117&lt;=$C113)*(Rates!$D$5:$D$117&gt;=$B113), 0)), 0)</f>
        <v>0</v>
      </c>
      <c r="M113" s="36" t="str">
        <f t="shared" si="32"/>
        <v>-</v>
      </c>
      <c r="N113" s="37">
        <f t="shared" si="33"/>
        <v>0</v>
      </c>
      <c r="O113" s="38">
        <f>IF(IF($C$8="Yes",IF(N113&gt;1,COUNTIF($N$17:N113,$G$12),0)-1,IF(N113&gt;1,COUNTIF($N$17:N113,$G$12),0))&lt;0,0,IF($C$8="Yes",IF(N113&gt;1,COUNTIF($N$17:N113,$G$12),0)-1,IF(N113&gt;1,COUNTIF($N$17:N113,$G$12),0)))</f>
        <v>0</v>
      </c>
      <c r="P113" s="39">
        <f>IFERROR(INDEX(Rates!$P$4:$U$13,MATCH($C$7,Rates!$O$4:$O$13,0),MATCH(O113,Rates!$P$2:$U$2,0)),0)</f>
        <v>0</v>
      </c>
      <c r="Q113" s="50">
        <f t="shared" si="34"/>
        <v>0</v>
      </c>
      <c r="R113" s="32"/>
      <c r="S113" s="32"/>
      <c r="W113" s="110" t="str">
        <f t="shared" si="35"/>
        <v>-</v>
      </c>
      <c r="X113" s="111">
        <f t="shared" si="36"/>
        <v>0</v>
      </c>
    </row>
    <row r="114" spans="2:24">
      <c r="B114" s="123" t="str">
        <f t="shared" si="37"/>
        <v>-</v>
      </c>
      <c r="C114" s="123" t="str">
        <f t="shared" si="38"/>
        <v>-</v>
      </c>
      <c r="D114" s="53">
        <f>IFERROR(IF(ROUND(D113,0)&lt;=0,"-",IFERROR(IF(U114="-","-",IFERROR(IF(T114=EOMONTH(T114,-1)+1,SUMIFS($I$17:I113,T$17:T113,"&lt;="&amp;U113,T$17:T113,"&gt;"&amp;EOMONTH(U113,-1)),-E113-F113),0))+D113,0))+X113-X112,0)</f>
        <v>0</v>
      </c>
      <c r="E114" s="53">
        <f>ROUND(($C$5-SUM($E$16:E113))*P114,2)</f>
        <v>0</v>
      </c>
      <c r="F114" s="53">
        <f>IF(Q114=1,SUM($I$16:$I114)-SUM($F$15:F112),IF((IF(E114&gt;0,SUM($I$16:$I114),0))-SUM($F$15:F112)&lt;0,0,(IF(E114&gt;0,SUM($I$16:$I114),0))-SUM($F$15:F112)))</f>
        <v>0</v>
      </c>
      <c r="G114" s="53">
        <f t="shared" si="30"/>
        <v>0</v>
      </c>
      <c r="H114" s="68">
        <f t="shared" si="19"/>
        <v>0</v>
      </c>
      <c r="I114" s="19">
        <f t="shared" si="39"/>
        <v>0</v>
      </c>
      <c r="J114" s="60">
        <f t="shared" si="31"/>
        <v>0</v>
      </c>
      <c r="K114" s="73">
        <f t="shared" si="40"/>
        <v>0</v>
      </c>
      <c r="L114" s="35" cm="1">
        <f t="array" ref="L114">IFERROR(INDEX(Rates!$G$5:$G$117,MATCH(1, (Rates!$C$5:$C$117&lt;=$C114)*(Rates!$D$5:$D$117&gt;=$B114), 0)), 0)</f>
        <v>0</v>
      </c>
      <c r="M114" s="36" t="str">
        <f t="shared" si="32"/>
        <v>-</v>
      </c>
      <c r="N114" s="37">
        <f t="shared" si="33"/>
        <v>0</v>
      </c>
      <c r="O114" s="38">
        <f>IF(IF($C$8="Yes",IF(N114&gt;1,COUNTIF($N$17:N114,$G$12),0)-1,IF(N114&gt;1,COUNTIF($N$17:N114,$G$12),0))&lt;0,0,IF($C$8="Yes",IF(N114&gt;1,COUNTIF($N$17:N114,$G$12),0)-1,IF(N114&gt;1,COUNTIF($N$17:N114,$G$12),0)))</f>
        <v>0</v>
      </c>
      <c r="P114" s="39">
        <f>IFERROR(INDEX(Rates!$P$4:$U$13,MATCH($C$7,Rates!$O$4:$O$13,0),MATCH(O114,Rates!$P$2:$U$2,0)),0)</f>
        <v>0</v>
      </c>
      <c r="Q114" s="50">
        <f t="shared" si="34"/>
        <v>0</v>
      </c>
      <c r="R114" s="32"/>
      <c r="S114" s="32"/>
      <c r="W114" s="110" t="str">
        <f t="shared" si="35"/>
        <v>-</v>
      </c>
      <c r="X114" s="111">
        <f t="shared" si="36"/>
        <v>0</v>
      </c>
    </row>
    <row r="115" spans="2:24">
      <c r="B115" s="123" t="str">
        <f t="shared" si="37"/>
        <v>-</v>
      </c>
      <c r="C115" s="123" t="str">
        <f t="shared" si="38"/>
        <v>-</v>
      </c>
      <c r="D115" s="53">
        <f>IFERROR(IF(ROUND(D114,0)&lt;=0,"-",IFERROR(IF(U115="-","-",IFERROR(IF(T115=EOMONTH(T115,-1)+1,SUMIFS($I$17:I114,T$17:T114,"&lt;="&amp;U114,T$17:T114,"&gt;"&amp;EOMONTH(U114,-1)),-E114-F114),0))+D114,0))+X114-X113,0)</f>
        <v>0</v>
      </c>
      <c r="E115" s="53">
        <f>ROUND(($C$5-SUM($E$16:E114))*P115,2)</f>
        <v>0</v>
      </c>
      <c r="F115" s="53">
        <f>IF(Q115=1,SUM($I$16:$I115)-SUM($F$15:F113),IF((IF(E115&gt;0,SUM($I$16:$I115),0))-SUM($F$15:F113)&lt;0,0,(IF(E115&gt;0,SUM($I$16:$I115),0))-SUM($F$15:F113)))</f>
        <v>0</v>
      </c>
      <c r="G115" s="53">
        <f t="shared" si="30"/>
        <v>0</v>
      </c>
      <c r="H115" s="68">
        <f t="shared" si="19"/>
        <v>0</v>
      </c>
      <c r="I115" s="19">
        <f t="shared" si="39"/>
        <v>0</v>
      </c>
      <c r="J115" s="60">
        <f t="shared" si="31"/>
        <v>0</v>
      </c>
      <c r="K115" s="73">
        <f t="shared" si="40"/>
        <v>0</v>
      </c>
      <c r="L115" s="35" cm="1">
        <f t="array" ref="L115">IFERROR(INDEX(Rates!$G$5:$G$117,MATCH(1, (Rates!$C$5:$C$117&lt;=$C115)*(Rates!$D$5:$D$117&gt;=$B115), 0)), 0)</f>
        <v>0</v>
      </c>
      <c r="M115" s="36" t="str">
        <f t="shared" si="32"/>
        <v>-</v>
      </c>
      <c r="N115" s="37">
        <f t="shared" si="33"/>
        <v>0</v>
      </c>
      <c r="O115" s="38">
        <f>IF(IF($C$8="Yes",IF(N115&gt;1,COUNTIF($N$17:N115,$G$12),0)-1,IF(N115&gt;1,COUNTIF($N$17:N115,$G$12),0))&lt;0,0,IF($C$8="Yes",IF(N115&gt;1,COUNTIF($N$17:N115,$G$12),0)-1,IF(N115&gt;1,COUNTIF($N$17:N115,$G$12),0)))</f>
        <v>0</v>
      </c>
      <c r="P115" s="39">
        <f>IFERROR(INDEX(Rates!$P$4:$U$13,MATCH($C$7,Rates!$O$4:$O$13,0),MATCH(O115,Rates!$P$2:$U$2,0)),0)</f>
        <v>0</v>
      </c>
      <c r="Q115" s="50">
        <f t="shared" si="34"/>
        <v>0</v>
      </c>
      <c r="R115" s="32"/>
      <c r="S115" s="32"/>
      <c r="W115" s="110" t="str">
        <f t="shared" si="35"/>
        <v>-</v>
      </c>
      <c r="X115" s="111">
        <f t="shared" si="36"/>
        <v>0</v>
      </c>
    </row>
    <row r="116" spans="2:24">
      <c r="B116" s="123" t="str">
        <f t="shared" si="37"/>
        <v>-</v>
      </c>
      <c r="C116" s="123" t="str">
        <f t="shared" si="38"/>
        <v>-</v>
      </c>
      <c r="D116" s="53">
        <f>IFERROR(IF(ROUND(D115,0)&lt;=0,"-",IFERROR(IF(U116="-","-",IFERROR(IF(T116=EOMONTH(T116,-1)+1,SUMIFS($I$17:I115,T$17:T115,"&lt;="&amp;U115,T$17:T115,"&gt;"&amp;EOMONTH(U115,-1)),-E115-F115),0))+D115,0))+X115-X114,0)</f>
        <v>0</v>
      </c>
      <c r="E116" s="53">
        <f>ROUND(($C$5-SUM($E$16:E115))*P116,2)</f>
        <v>0</v>
      </c>
      <c r="F116" s="53">
        <f>IF(Q116=1,SUM($I$16:$I116)-SUM($F$15:F114),IF((IF(E116&gt;0,SUM($I$16:$I116),0))-SUM($F$15:F114)&lt;0,0,(IF(E116&gt;0,SUM($I$16:$I116),0))-SUM($F$15:F114)))</f>
        <v>0</v>
      </c>
      <c r="G116" s="53">
        <f t="shared" si="30"/>
        <v>0</v>
      </c>
      <c r="H116" s="68">
        <f t="shared" si="19"/>
        <v>0</v>
      </c>
      <c r="I116" s="19">
        <f t="shared" si="39"/>
        <v>0</v>
      </c>
      <c r="J116" s="60">
        <f t="shared" si="31"/>
        <v>0</v>
      </c>
      <c r="K116" s="73">
        <f t="shared" si="40"/>
        <v>0</v>
      </c>
      <c r="L116" s="35" cm="1">
        <f t="array" ref="L116">IFERROR(INDEX(Rates!$G$5:$G$117,MATCH(1, (Rates!$C$5:$C$117&lt;=$C116)*(Rates!$D$5:$D$117&gt;=$B116), 0)), 0)</f>
        <v>0</v>
      </c>
      <c r="M116" s="36" t="str">
        <f t="shared" si="32"/>
        <v>-</v>
      </c>
      <c r="N116" s="37">
        <f t="shared" si="33"/>
        <v>0</v>
      </c>
      <c r="O116" s="38">
        <f>IF(IF($C$8="Yes",IF(N116&gt;1,COUNTIF($N$17:N116,$G$12),0)-1,IF(N116&gt;1,COUNTIF($N$17:N116,$G$12),0))&lt;0,0,IF($C$8="Yes",IF(N116&gt;1,COUNTIF($N$17:N116,$G$12),0)-1,IF(N116&gt;1,COUNTIF($N$17:N116,$G$12),0)))</f>
        <v>0</v>
      </c>
      <c r="P116" s="39">
        <f>IFERROR(INDEX(Rates!$P$4:$U$13,MATCH($C$7,Rates!$O$4:$O$13,0),MATCH(O116,Rates!$P$2:$U$2,0)),0)</f>
        <v>0</v>
      </c>
      <c r="Q116" s="50">
        <f t="shared" si="34"/>
        <v>0</v>
      </c>
      <c r="R116" s="32"/>
      <c r="S116" s="32"/>
      <c r="W116" s="110" t="str">
        <f t="shared" si="35"/>
        <v>-</v>
      </c>
      <c r="X116" s="111">
        <f t="shared" si="36"/>
        <v>0</v>
      </c>
    </row>
    <row r="117" spans="2:24">
      <c r="B117" s="123" t="str">
        <f t="shared" si="37"/>
        <v>-</v>
      </c>
      <c r="C117" s="123" t="str">
        <f t="shared" si="38"/>
        <v>-</v>
      </c>
      <c r="D117" s="53">
        <f>IFERROR(IF(ROUND(D116,0)&lt;=0,"-",IFERROR(IF(U117="-","-",IFERROR(IF(T117=EOMONTH(T117,-1)+1,SUMIFS($I$17:I116,T$17:T116,"&lt;="&amp;U116,T$17:T116,"&gt;"&amp;EOMONTH(U116,-1)),-E116-F116),0))+D116,0))+X116-X115,0)</f>
        <v>0</v>
      </c>
      <c r="E117" s="53">
        <f>ROUND(($C$5-SUM($E$16:E116))*P117,2)</f>
        <v>0</v>
      </c>
      <c r="F117" s="53">
        <f>IF(Q117=1,SUM($I$16:$I117)-SUM($F$15:F115),IF((IF(E117&gt;0,SUM($I$16:$I117),0))-SUM($F$15:F115)&lt;0,0,(IF(E117&gt;0,SUM($I$16:$I117),0))-SUM($F$15:F115)))</f>
        <v>0</v>
      </c>
      <c r="G117" s="53">
        <f t="shared" si="30"/>
        <v>0</v>
      </c>
      <c r="H117" s="68">
        <f t="shared" si="19"/>
        <v>0</v>
      </c>
      <c r="I117" s="19">
        <f t="shared" si="39"/>
        <v>0</v>
      </c>
      <c r="J117" s="60">
        <f t="shared" si="31"/>
        <v>0</v>
      </c>
      <c r="K117" s="73">
        <f t="shared" si="40"/>
        <v>0</v>
      </c>
      <c r="L117" s="35" cm="1">
        <f t="array" ref="L117">IFERROR(INDEX(Rates!$G$5:$G$117,MATCH(1, (Rates!$C$5:$C$117&lt;=$C117)*(Rates!$D$5:$D$117&gt;=$B117), 0)), 0)</f>
        <v>0</v>
      </c>
      <c r="M117" s="36" t="str">
        <f t="shared" si="32"/>
        <v>-</v>
      </c>
      <c r="N117" s="37">
        <f t="shared" si="33"/>
        <v>0</v>
      </c>
      <c r="O117" s="38">
        <f>IF(IF($C$8="Yes",IF(N117&gt;1,COUNTIF($N$17:N117,$G$12),0)-1,IF(N117&gt;1,COUNTIF($N$17:N117,$G$12),0))&lt;0,0,IF($C$8="Yes",IF(N117&gt;1,COUNTIF($N$17:N117,$G$12),0)-1,IF(N117&gt;1,COUNTIF($N$17:N117,$G$12),0)))</f>
        <v>0</v>
      </c>
      <c r="P117" s="39">
        <f>IFERROR(INDEX(Rates!$P$4:$U$13,MATCH($C$7,Rates!$O$4:$O$13,0),MATCH(O117,Rates!$P$2:$U$2,0)),0)</f>
        <v>0</v>
      </c>
      <c r="Q117" s="50">
        <f t="shared" si="34"/>
        <v>0</v>
      </c>
      <c r="R117" s="32"/>
      <c r="S117" s="32"/>
      <c r="W117" s="110" t="str">
        <f t="shared" si="35"/>
        <v>-</v>
      </c>
      <c r="X117" s="111">
        <f t="shared" si="36"/>
        <v>0</v>
      </c>
    </row>
    <row r="118" spans="2:24">
      <c r="B118" s="123" t="str">
        <f t="shared" si="37"/>
        <v>-</v>
      </c>
      <c r="C118" s="123" t="str">
        <f t="shared" si="38"/>
        <v>-</v>
      </c>
      <c r="D118" s="53">
        <f>IFERROR(IF(ROUND(D117,0)&lt;=0,"-",IFERROR(IF(U118="-","-",IFERROR(IF(T118=EOMONTH(T118,-1)+1,SUMIFS($I$17:I117,T$17:T117,"&lt;="&amp;U117,T$17:T117,"&gt;"&amp;EOMONTH(U117,-1)),-E117-F117),0))+D117,0))+X117-X116,0)</f>
        <v>0</v>
      </c>
      <c r="E118" s="53">
        <f>ROUND(($C$5-SUM($E$16:E117))*P118,2)</f>
        <v>0</v>
      </c>
      <c r="F118" s="53">
        <f>IF(Q118=1,SUM($I$16:$I118)-SUM($F$15:F116),IF((IF(E118&gt;0,SUM($I$16:$I118),0))-SUM($F$15:F116)&lt;0,0,(IF(E118&gt;0,SUM($I$16:$I118),0))-SUM($F$15:F116)))</f>
        <v>0</v>
      </c>
      <c r="G118" s="53">
        <f t="shared" si="30"/>
        <v>0</v>
      </c>
      <c r="H118" s="68">
        <f t="shared" si="19"/>
        <v>0</v>
      </c>
      <c r="I118" s="19">
        <f t="shared" si="39"/>
        <v>0</v>
      </c>
      <c r="J118" s="60">
        <f t="shared" si="31"/>
        <v>0</v>
      </c>
      <c r="K118" s="73">
        <f t="shared" si="40"/>
        <v>0</v>
      </c>
      <c r="L118" s="35" cm="1">
        <f t="array" ref="L118">IFERROR(INDEX(Rates!$G$5:$G$117,MATCH(1, (Rates!$C$5:$C$117&lt;=$C118)*(Rates!$D$5:$D$117&gt;=$B118), 0)), 0)</f>
        <v>0</v>
      </c>
      <c r="M118" s="36" t="str">
        <f t="shared" si="32"/>
        <v>-</v>
      </c>
      <c r="N118" s="37">
        <f t="shared" si="33"/>
        <v>0</v>
      </c>
      <c r="O118" s="38">
        <f>IF(IF($C$8="Yes",IF(N118&gt;1,COUNTIF($N$17:N118,$G$12),0)-1,IF(N118&gt;1,COUNTIF($N$17:N118,$G$12),0))&lt;0,0,IF($C$8="Yes",IF(N118&gt;1,COUNTIF($N$17:N118,$G$12),0)-1,IF(N118&gt;1,COUNTIF($N$17:N118,$G$12),0)))</f>
        <v>0</v>
      </c>
      <c r="P118" s="39">
        <f>IFERROR(INDEX(Rates!$P$4:$U$13,MATCH($C$7,Rates!$O$4:$O$13,0),MATCH(O118,Rates!$P$2:$U$2,0)),0)</f>
        <v>0</v>
      </c>
      <c r="Q118" s="50">
        <f t="shared" si="34"/>
        <v>0</v>
      </c>
      <c r="R118" s="32"/>
      <c r="S118" s="32"/>
      <c r="W118" s="110" t="str">
        <f t="shared" si="35"/>
        <v>-</v>
      </c>
      <c r="X118" s="111">
        <f t="shared" si="36"/>
        <v>0</v>
      </c>
    </row>
    <row r="119" spans="2:24">
      <c r="B119" s="123" t="str">
        <f t="shared" si="37"/>
        <v>-</v>
      </c>
      <c r="C119" s="123" t="str">
        <f t="shared" si="38"/>
        <v>-</v>
      </c>
      <c r="D119" s="53">
        <f>IFERROR(IF(ROUND(D118,0)&lt;=0,"-",IFERROR(IF(U119="-","-",IFERROR(IF(T119=EOMONTH(T119,-1)+1,SUMIFS($I$17:I118,T$17:T118,"&lt;="&amp;U118,T$17:T118,"&gt;"&amp;EOMONTH(U118,-1)),-E118-F118),0))+D118,0))+X118-X117,0)</f>
        <v>0</v>
      </c>
      <c r="E119" s="53">
        <f>ROUND(($C$5-SUM($E$16:E118))*P119,2)</f>
        <v>0</v>
      </c>
      <c r="F119" s="53">
        <f>IF(Q119=1,SUM($I$16:$I119)-SUM($F$15:F117),IF((IF(E119&gt;0,SUM($I$16:$I119),0))-SUM($F$15:F117)&lt;0,0,(IF(E119&gt;0,SUM($I$16:$I119),0))-SUM($F$15:F117)))</f>
        <v>0</v>
      </c>
      <c r="G119" s="53">
        <f t="shared" si="30"/>
        <v>0</v>
      </c>
      <c r="H119" s="68">
        <f t="shared" si="19"/>
        <v>0</v>
      </c>
      <c r="I119" s="19">
        <f t="shared" si="39"/>
        <v>0</v>
      </c>
      <c r="J119" s="60">
        <f t="shared" si="31"/>
        <v>0</v>
      </c>
      <c r="K119" s="73">
        <f t="shared" si="40"/>
        <v>0</v>
      </c>
      <c r="L119" s="35" cm="1">
        <f t="array" ref="L119">IFERROR(INDEX(Rates!$G$5:$G$117,MATCH(1, (Rates!$C$5:$C$117&lt;=$C119)*(Rates!$D$5:$D$117&gt;=$B119), 0)), 0)</f>
        <v>0</v>
      </c>
      <c r="M119" s="36" t="str">
        <f t="shared" si="32"/>
        <v>-</v>
      </c>
      <c r="N119" s="37">
        <f t="shared" si="33"/>
        <v>0</v>
      </c>
      <c r="O119" s="38">
        <f>IF(IF($C$8="Yes",IF(N119&gt;1,COUNTIF($N$17:N119,$G$12),0)-1,IF(N119&gt;1,COUNTIF($N$17:N119,$G$12),0))&lt;0,0,IF($C$8="Yes",IF(N119&gt;1,COUNTIF($N$17:N119,$G$12),0)-1,IF(N119&gt;1,COUNTIF($N$17:N119,$G$12),0)))</f>
        <v>0</v>
      </c>
      <c r="P119" s="39">
        <f>IFERROR(INDEX(Rates!$P$4:$U$13,MATCH($C$7,Rates!$O$4:$O$13,0),MATCH(O119,Rates!$P$2:$U$2,0)),0)</f>
        <v>0</v>
      </c>
      <c r="Q119" s="50">
        <f t="shared" si="34"/>
        <v>0</v>
      </c>
      <c r="R119" s="32"/>
      <c r="S119" s="32"/>
      <c r="W119" s="110" t="str">
        <f t="shared" si="35"/>
        <v>-</v>
      </c>
      <c r="X119" s="111">
        <f t="shared" si="36"/>
        <v>0</v>
      </c>
    </row>
    <row r="120" spans="2:24">
      <c r="B120" s="123" t="str">
        <f t="shared" si="37"/>
        <v>-</v>
      </c>
      <c r="C120" s="123" t="str">
        <f t="shared" si="38"/>
        <v>-</v>
      </c>
      <c r="D120" s="53">
        <f>IFERROR(IF(ROUND(D119,0)&lt;=0,"-",IFERROR(IF(U120="-","-",IFERROR(IF(T120=EOMONTH(T120,-1)+1,SUMIFS($I$17:I119,T$17:T119,"&lt;="&amp;U119,T$17:T119,"&gt;"&amp;EOMONTH(U119,-1)),-E119-F119),0))+D119,0))+X119-X118,0)</f>
        <v>0</v>
      </c>
      <c r="E120" s="53">
        <f>ROUND(($C$5-SUM($E$16:E119))*P120,2)</f>
        <v>0</v>
      </c>
      <c r="F120" s="53">
        <f>IF(Q120=1,SUM($I$16:$I120)-SUM($F$15:F118),IF((IF(E120&gt;0,SUM($I$16:$I120),0))-SUM($F$15:F118)&lt;0,0,(IF(E120&gt;0,SUM($I$16:$I120),0))-SUM($F$15:F118)))</f>
        <v>0</v>
      </c>
      <c r="G120" s="53">
        <f t="shared" si="30"/>
        <v>0</v>
      </c>
      <c r="H120" s="68">
        <f t="shared" si="19"/>
        <v>0</v>
      </c>
      <c r="I120" s="19">
        <f t="shared" si="39"/>
        <v>0</v>
      </c>
      <c r="J120" s="60">
        <f t="shared" si="31"/>
        <v>0</v>
      </c>
      <c r="K120" s="73">
        <f t="shared" si="40"/>
        <v>0</v>
      </c>
      <c r="L120" s="35" cm="1">
        <f t="array" ref="L120">IFERROR(INDEX(Rates!$G$5:$G$117,MATCH(1, (Rates!$C$5:$C$117&lt;=$C120)*(Rates!$D$5:$D$117&gt;=$B120), 0)), 0)</f>
        <v>0</v>
      </c>
      <c r="M120" s="36" t="str">
        <f t="shared" si="32"/>
        <v>-</v>
      </c>
      <c r="N120" s="37">
        <f t="shared" si="33"/>
        <v>0</v>
      </c>
      <c r="O120" s="38">
        <f>IF(IF($C$8="Yes",IF(N120&gt;1,COUNTIF($N$17:N120,$G$12),0)-1,IF(N120&gt;1,COUNTIF($N$17:N120,$G$12),0))&lt;0,0,IF($C$8="Yes",IF(N120&gt;1,COUNTIF($N$17:N120,$G$12),0)-1,IF(N120&gt;1,COUNTIF($N$17:N120,$G$12),0)))</f>
        <v>0</v>
      </c>
      <c r="P120" s="39">
        <f>IFERROR(INDEX(Rates!$P$4:$U$13,MATCH($C$7,Rates!$O$4:$O$13,0),MATCH(O120,Rates!$P$2:$U$2,0)),0)</f>
        <v>0</v>
      </c>
      <c r="Q120" s="50">
        <f t="shared" si="34"/>
        <v>0</v>
      </c>
      <c r="R120" s="32"/>
      <c r="S120" s="32"/>
      <c r="W120" s="110" t="str">
        <f t="shared" si="35"/>
        <v>-</v>
      </c>
      <c r="X120" s="111">
        <f t="shared" si="36"/>
        <v>0</v>
      </c>
    </row>
    <row r="121" spans="2:24">
      <c r="B121" s="123" t="str">
        <f t="shared" si="37"/>
        <v>-</v>
      </c>
      <c r="C121" s="123" t="str">
        <f t="shared" si="38"/>
        <v>-</v>
      </c>
      <c r="D121" s="53">
        <f>IFERROR(IF(ROUND(D120,0)&lt;=0,"-",IFERROR(IF(U121="-","-",IFERROR(IF(T121=EOMONTH(T121,-1)+1,SUMIFS($I$17:I120,T$17:T120,"&lt;="&amp;U120,T$17:T120,"&gt;"&amp;EOMONTH(U120,-1)),-E120-F120),0))+D120,0))+X120-X119,0)</f>
        <v>0</v>
      </c>
      <c r="E121" s="53">
        <f>ROUND(($C$5-SUM($E$16:E120))*P121,2)</f>
        <v>0</v>
      </c>
      <c r="F121" s="53">
        <f>IF(Q121=1,SUM($I$16:$I121)-SUM($F$15:F119),IF((IF(E121&gt;0,SUM($I$16:$I121),0))-SUM($F$15:F119)&lt;0,0,(IF(E121&gt;0,SUM($I$16:$I121),0))-SUM($F$15:F119)))</f>
        <v>0</v>
      </c>
      <c r="G121" s="53">
        <f t="shared" si="30"/>
        <v>0</v>
      </c>
      <c r="H121" s="68">
        <f t="shared" si="19"/>
        <v>0</v>
      </c>
      <c r="I121" s="19">
        <f t="shared" si="39"/>
        <v>0</v>
      </c>
      <c r="J121" s="60">
        <f t="shared" si="31"/>
        <v>0</v>
      </c>
      <c r="K121" s="73">
        <f t="shared" si="40"/>
        <v>0</v>
      </c>
      <c r="L121" s="35" cm="1">
        <f t="array" ref="L121">IFERROR(INDEX(Rates!$G$5:$G$117,MATCH(1, (Rates!$C$5:$C$117&lt;=$C121)*(Rates!$D$5:$D$117&gt;=$B121), 0)), 0)</f>
        <v>0</v>
      </c>
      <c r="M121" s="36" t="str">
        <f t="shared" si="32"/>
        <v>-</v>
      </c>
      <c r="N121" s="37">
        <f t="shared" si="33"/>
        <v>0</v>
      </c>
      <c r="O121" s="38">
        <f>IF(IF($C$8="Yes",IF(N121&gt;1,COUNTIF($N$17:N121,$G$12),0)-1,IF(N121&gt;1,COUNTIF($N$17:N121,$G$12),0))&lt;0,0,IF($C$8="Yes",IF(N121&gt;1,COUNTIF($N$17:N121,$G$12),0)-1,IF(N121&gt;1,COUNTIF($N$17:N121,$G$12),0)))</f>
        <v>0</v>
      </c>
      <c r="P121" s="39">
        <f>IFERROR(INDEX(Rates!$P$4:$U$13,MATCH($C$7,Rates!$O$4:$O$13,0),MATCH(O121,Rates!$P$2:$U$2,0)),0)</f>
        <v>0</v>
      </c>
      <c r="Q121" s="50">
        <f t="shared" si="34"/>
        <v>0</v>
      </c>
      <c r="R121" s="32"/>
      <c r="S121" s="32"/>
      <c r="W121" s="110" t="str">
        <f t="shared" si="35"/>
        <v>-</v>
      </c>
      <c r="X121" s="111">
        <f t="shared" si="36"/>
        <v>0</v>
      </c>
    </row>
    <row r="122" spans="2:24">
      <c r="B122" s="123" t="str">
        <f t="shared" si="37"/>
        <v>-</v>
      </c>
      <c r="C122" s="123" t="str">
        <f t="shared" si="38"/>
        <v>-</v>
      </c>
      <c r="D122" s="53">
        <f>IFERROR(IF(ROUND(D121,0)&lt;=0,"-",IFERROR(IF(U122="-","-",IFERROR(IF(T122=EOMONTH(T122,-1)+1,SUMIFS($I$17:I121,T$17:T121,"&lt;="&amp;U121,T$17:T121,"&gt;"&amp;EOMONTH(U121,-1)),-E121-F121),0))+D121,0))+X121-X120,0)</f>
        <v>0</v>
      </c>
      <c r="E122" s="53">
        <f>ROUND(($C$5-SUM($E$16:E121))*P122,2)</f>
        <v>0</v>
      </c>
      <c r="F122" s="53">
        <f>IF(Q122=1,SUM($I$16:$I122)-SUM($F$15:F120),IF((IF(E122&gt;0,SUM($I$16:$I122),0))-SUM($F$15:F120)&lt;0,0,(IF(E122&gt;0,SUM($I$16:$I122),0))-SUM($F$15:F120)))</f>
        <v>0</v>
      </c>
      <c r="G122" s="53">
        <f t="shared" si="30"/>
        <v>0</v>
      </c>
      <c r="H122" s="68">
        <f t="shared" si="19"/>
        <v>0</v>
      </c>
      <c r="I122" s="19">
        <f t="shared" si="39"/>
        <v>0</v>
      </c>
      <c r="J122" s="60">
        <f t="shared" si="31"/>
        <v>0</v>
      </c>
      <c r="K122" s="73">
        <f t="shared" si="40"/>
        <v>0</v>
      </c>
      <c r="L122" s="35" cm="1">
        <f t="array" ref="L122">IFERROR(INDEX(Rates!$G$5:$G$117,MATCH(1, (Rates!$C$5:$C$117&lt;=$C122)*(Rates!$D$5:$D$117&gt;=$B122), 0)), 0)</f>
        <v>0</v>
      </c>
      <c r="M122" s="36" t="str">
        <f t="shared" si="32"/>
        <v>-</v>
      </c>
      <c r="N122" s="37">
        <f t="shared" si="33"/>
        <v>0</v>
      </c>
      <c r="O122" s="38">
        <f>IF(IF($C$8="Yes",IF(N122&gt;1,COUNTIF($N$17:N122,$G$12),0)-1,IF(N122&gt;1,COUNTIF($N$17:N122,$G$12),0))&lt;0,0,IF($C$8="Yes",IF(N122&gt;1,COUNTIF($N$17:N122,$G$12),0)-1,IF(N122&gt;1,COUNTIF($N$17:N122,$G$12),0)))</f>
        <v>0</v>
      </c>
      <c r="P122" s="39">
        <f>IFERROR(INDEX(Rates!$P$4:$U$13,MATCH($C$7,Rates!$O$4:$O$13,0),MATCH(O122,Rates!$P$2:$U$2,0)),0)</f>
        <v>0</v>
      </c>
      <c r="Q122" s="50">
        <f t="shared" si="34"/>
        <v>0</v>
      </c>
      <c r="R122" s="32"/>
      <c r="S122" s="32"/>
      <c r="W122" s="110" t="str">
        <f t="shared" si="35"/>
        <v>-</v>
      </c>
      <c r="X122" s="111">
        <f t="shared" si="36"/>
        <v>0</v>
      </c>
    </row>
    <row r="123" spans="2:24">
      <c r="B123" s="123" t="str">
        <f t="shared" si="37"/>
        <v>-</v>
      </c>
      <c r="C123" s="123" t="str">
        <f t="shared" si="38"/>
        <v>-</v>
      </c>
      <c r="D123" s="53">
        <f>IFERROR(IF(ROUND(D122,0)&lt;=0,"-",IFERROR(IF(U123="-","-",IFERROR(IF(T123=EOMONTH(T123,-1)+1,SUMIFS($I$17:I122,T$17:T122,"&lt;="&amp;U122,T$17:T122,"&gt;"&amp;EOMONTH(U122,-1)),-E122-F122),0))+D122,0))+X122-X121,0)</f>
        <v>0</v>
      </c>
      <c r="E123" s="53">
        <f>ROUND(($C$5-SUM($E$16:E122))*P123,2)</f>
        <v>0</v>
      </c>
      <c r="F123" s="53">
        <f>IF(Q123=1,SUM($I$16:$I123)-SUM($F$15:F121),IF((IF(E123&gt;0,SUM($I$16:$I123),0))-SUM($F$15:F121)&lt;0,0,(IF(E123&gt;0,SUM($I$16:$I123),0))-SUM($F$15:F121)))</f>
        <v>0</v>
      </c>
      <c r="G123" s="53">
        <f t="shared" si="30"/>
        <v>0</v>
      </c>
      <c r="H123" s="68">
        <f t="shared" si="19"/>
        <v>0</v>
      </c>
      <c r="I123" s="19">
        <f t="shared" si="39"/>
        <v>0</v>
      </c>
      <c r="J123" s="60">
        <f t="shared" si="31"/>
        <v>0</v>
      </c>
      <c r="K123" s="73">
        <f t="shared" si="40"/>
        <v>0</v>
      </c>
      <c r="L123" s="35" cm="1">
        <f t="array" ref="L123">IFERROR(INDEX(Rates!$G$5:$G$117,MATCH(1, (Rates!$C$5:$C$117&lt;=$C123)*(Rates!$D$5:$D$117&gt;=$B123), 0)), 0)</f>
        <v>0</v>
      </c>
      <c r="M123" s="36" t="str">
        <f t="shared" si="32"/>
        <v>-</v>
      </c>
      <c r="N123" s="37">
        <f t="shared" si="33"/>
        <v>0</v>
      </c>
      <c r="O123" s="38">
        <f>IF(IF($C$8="Yes",IF(N123&gt;1,COUNTIF($N$17:N123,$G$12),0)-1,IF(N123&gt;1,COUNTIF($N$17:N123,$G$12),0))&lt;0,0,IF($C$8="Yes",IF(N123&gt;1,COUNTIF($N$17:N123,$G$12),0)-1,IF(N123&gt;1,COUNTIF($N$17:N123,$G$12),0)))</f>
        <v>0</v>
      </c>
      <c r="P123" s="39">
        <f>IFERROR(INDEX(Rates!$P$4:$U$13,MATCH($C$7,Rates!$O$4:$O$13,0),MATCH(O123,Rates!$P$2:$U$2,0)),0)</f>
        <v>0</v>
      </c>
      <c r="Q123" s="50">
        <f t="shared" si="34"/>
        <v>0</v>
      </c>
      <c r="R123" s="32"/>
      <c r="S123" s="32"/>
      <c r="W123" s="110" t="str">
        <f t="shared" si="35"/>
        <v>-</v>
      </c>
      <c r="X123" s="111">
        <f t="shared" si="36"/>
        <v>0</v>
      </c>
    </row>
    <row r="124" spans="2:24">
      <c r="B124" s="123" t="str">
        <f t="shared" si="37"/>
        <v>-</v>
      </c>
      <c r="C124" s="123" t="str">
        <f t="shared" si="38"/>
        <v>-</v>
      </c>
      <c r="D124" s="53">
        <f>IFERROR(IF(ROUND(D123,0)&lt;=0,"-",IFERROR(IF(U124="-","-",IFERROR(IF(T124=EOMONTH(T124,-1)+1,SUMIFS($I$17:I123,T$17:T123,"&lt;="&amp;U123,T$17:T123,"&gt;"&amp;EOMONTH(U123,-1)),-E123-F123),0))+D123,0))+X123-X122,0)</f>
        <v>0</v>
      </c>
      <c r="E124" s="53">
        <f>ROUND(($C$5-SUM($E$16:E123))*P124,2)</f>
        <v>0</v>
      </c>
      <c r="F124" s="53">
        <f>IF(Q124=1,SUM($I$16:$I124)-SUM($F$15:F122),IF((IF(E124&gt;0,SUM($I$16:$I124),0))-SUM($F$15:F122)&lt;0,0,(IF(E124&gt;0,SUM($I$16:$I124),0))-SUM($F$15:F122)))</f>
        <v>0</v>
      </c>
      <c r="G124" s="53">
        <f t="shared" si="30"/>
        <v>0</v>
      </c>
      <c r="H124" s="68">
        <f t="shared" si="19"/>
        <v>0</v>
      </c>
      <c r="I124" s="19">
        <f t="shared" si="39"/>
        <v>0</v>
      </c>
      <c r="J124" s="60">
        <f t="shared" si="31"/>
        <v>0</v>
      </c>
      <c r="K124" s="73">
        <f t="shared" si="40"/>
        <v>0</v>
      </c>
      <c r="L124" s="35" cm="1">
        <f t="array" ref="L124">IFERROR(INDEX(Rates!$G$5:$G$117,MATCH(1, (Rates!$C$5:$C$117&lt;=$C124)*(Rates!$D$5:$D$117&gt;=$B124), 0)), 0)</f>
        <v>0</v>
      </c>
      <c r="M124" s="36" t="str">
        <f t="shared" si="32"/>
        <v>-</v>
      </c>
      <c r="N124" s="37">
        <f t="shared" si="33"/>
        <v>0</v>
      </c>
      <c r="O124" s="38">
        <f>IF(IF($C$8="Yes",IF(N124&gt;1,COUNTIF($N$17:N124,$G$12),0)-1,IF(N124&gt;1,COUNTIF($N$17:N124,$G$12),0))&lt;0,0,IF($C$8="Yes",IF(N124&gt;1,COUNTIF($N$17:N124,$G$12),0)-1,IF(N124&gt;1,COUNTIF($N$17:N124,$G$12),0)))</f>
        <v>0</v>
      </c>
      <c r="P124" s="39">
        <f>IFERROR(INDEX(Rates!$P$4:$U$13,MATCH($C$7,Rates!$O$4:$O$13,0),MATCH(O124,Rates!$P$2:$U$2,0)),0)</f>
        <v>0</v>
      </c>
      <c r="Q124" s="50">
        <f t="shared" si="34"/>
        <v>0</v>
      </c>
      <c r="R124" s="32"/>
      <c r="S124" s="32"/>
      <c r="W124" s="110" t="str">
        <f t="shared" si="35"/>
        <v>-</v>
      </c>
      <c r="X124" s="111">
        <f t="shared" si="36"/>
        <v>0</v>
      </c>
    </row>
    <row r="125" spans="2:24">
      <c r="B125" s="123" t="str">
        <f t="shared" si="37"/>
        <v>-</v>
      </c>
      <c r="C125" s="123" t="str">
        <f t="shared" si="38"/>
        <v>-</v>
      </c>
      <c r="D125" s="53">
        <f>IFERROR(IF(ROUND(D124,0)&lt;=0,"-",IFERROR(IF(U125="-","-",IFERROR(IF(T125=EOMONTH(T125,-1)+1,SUMIFS($I$17:I124,T$17:T124,"&lt;="&amp;U124,T$17:T124,"&gt;"&amp;EOMONTH(U124,-1)),-E124-F124),0))+D124,0))+X124-X123,0)</f>
        <v>0</v>
      </c>
      <c r="E125" s="53">
        <f>ROUND(($C$5-SUM($E$16:E124))*P125,2)</f>
        <v>0</v>
      </c>
      <c r="F125" s="53">
        <f>IF(Q125=1,SUM($I$16:$I125)-SUM($F$15:F123),IF((IF(E125&gt;0,SUM($I$16:$I125),0))-SUM($F$15:F123)&lt;0,0,(IF(E125&gt;0,SUM($I$16:$I125),0))-SUM($F$15:F123)))</f>
        <v>0</v>
      </c>
      <c r="G125" s="53">
        <f t="shared" si="30"/>
        <v>0</v>
      </c>
      <c r="H125" s="68">
        <f t="shared" si="19"/>
        <v>0</v>
      </c>
      <c r="I125" s="19">
        <f t="shared" si="39"/>
        <v>0</v>
      </c>
      <c r="J125" s="60">
        <f t="shared" si="31"/>
        <v>0</v>
      </c>
      <c r="K125" s="73">
        <f t="shared" si="40"/>
        <v>0</v>
      </c>
      <c r="L125" s="35" cm="1">
        <f t="array" ref="L125">IFERROR(INDEX(Rates!$G$5:$G$117,MATCH(1, (Rates!$C$5:$C$117&lt;=$C125)*(Rates!$D$5:$D$117&gt;=$B125), 0)), 0)</f>
        <v>0</v>
      </c>
      <c r="M125" s="36" t="str">
        <f t="shared" si="32"/>
        <v>-</v>
      </c>
      <c r="N125" s="37">
        <f t="shared" si="33"/>
        <v>0</v>
      </c>
      <c r="O125" s="38">
        <f>IF(IF($C$8="Yes",IF(N125&gt;1,COUNTIF($N$17:N125,$G$12),0)-1,IF(N125&gt;1,COUNTIF($N$17:N125,$G$12),0))&lt;0,0,IF($C$8="Yes",IF(N125&gt;1,COUNTIF($N$17:N125,$G$12),0)-1,IF(N125&gt;1,COUNTIF($N$17:N125,$G$12),0)))</f>
        <v>0</v>
      </c>
      <c r="P125" s="39">
        <f>IFERROR(INDEX(Rates!$P$4:$U$13,MATCH($C$7,Rates!$O$4:$O$13,0),MATCH(O125,Rates!$P$2:$U$2,0)),0)</f>
        <v>0</v>
      </c>
      <c r="Q125" s="50">
        <f t="shared" si="34"/>
        <v>0</v>
      </c>
      <c r="R125" s="32"/>
      <c r="S125" s="32"/>
      <c r="W125" s="110" t="str">
        <f t="shared" si="35"/>
        <v>-</v>
      </c>
      <c r="X125" s="111">
        <f t="shared" si="36"/>
        <v>0</v>
      </c>
    </row>
    <row r="126" spans="2:24">
      <c r="B126" s="74" t="s">
        <v>96</v>
      </c>
      <c r="C126" s="20" t="s">
        <v>29</v>
      </c>
      <c r="D126" s="21"/>
      <c r="E126" s="43">
        <f>SUM(E17:E125)</f>
        <v>108200.72</v>
      </c>
      <c r="F126" s="43">
        <f>SUM(F17:F125)</f>
        <v>17767.11128206849</v>
      </c>
      <c r="G126" s="43">
        <f>SUM(G17:G125)</f>
        <v>125967.8312820685</v>
      </c>
      <c r="H126" s="61">
        <f>SUM(H17:H125)</f>
        <v>1824</v>
      </c>
      <c r="I126" s="43">
        <f>SUM(I17:I125)</f>
        <v>17767.11128206849</v>
      </c>
      <c r="J126" s="93"/>
      <c r="K126" s="62">
        <v>1</v>
      </c>
      <c r="R126" s="32"/>
      <c r="S126" s="32"/>
      <c r="W126" s="110"/>
      <c r="X126" s="111"/>
    </row>
    <row r="127" spans="2:24">
      <c r="W127" s="110"/>
      <c r="X127" s="111"/>
    </row>
    <row r="128" spans="2:24">
      <c r="E128" s="62"/>
      <c r="F128" s="62"/>
      <c r="G128" s="62"/>
      <c r="H128" s="62"/>
      <c r="I128" s="62"/>
      <c r="W128" s="110"/>
      <c r="X128" s="111"/>
    </row>
    <row r="129" spans="23:23">
      <c r="W129" s="110" t="str">
        <f t="shared" si="27"/>
        <v>-</v>
      </c>
    </row>
    <row r="130" spans="23:23">
      <c r="W130" s="110" t="str">
        <f t="shared" si="27"/>
        <v>-</v>
      </c>
    </row>
    <row r="131" spans="23:23">
      <c r="W131" s="110" t="str">
        <f t="shared" si="27"/>
        <v>-</v>
      </c>
    </row>
    <row r="132" spans="23:23">
      <c r="W132" s="110" t="str">
        <f t="shared" si="27"/>
        <v>-</v>
      </c>
    </row>
    <row r="133" spans="23:23">
      <c r="W133" s="110" t="str">
        <f t="shared" si="27"/>
        <v>-</v>
      </c>
    </row>
    <row r="134" spans="23:23">
      <c r="W134" s="110" t="str">
        <f t="shared" si="27"/>
        <v>-</v>
      </c>
    </row>
    <row r="135" spans="23:23">
      <c r="W135" s="110" t="str">
        <f t="shared" si="27"/>
        <v>-</v>
      </c>
    </row>
    <row r="136" spans="23:23">
      <c r="W136" s="110" t="str">
        <f t="shared" si="27"/>
        <v>-</v>
      </c>
    </row>
    <row r="137" spans="23:23">
      <c r="W137" s="110" t="str">
        <f t="shared" si="27"/>
        <v>-</v>
      </c>
    </row>
    <row r="138" spans="23:23">
      <c r="W138" s="110" t="str">
        <f t="shared" si="27"/>
        <v>-</v>
      </c>
    </row>
    <row r="139" spans="23:23">
      <c r="W139" s="110" t="str">
        <f t="shared" si="27"/>
        <v>-</v>
      </c>
    </row>
    <row r="140" spans="23:23">
      <c r="W140" s="110" t="str">
        <f t="shared" si="27"/>
        <v>-</v>
      </c>
    </row>
    <row r="141" spans="23:23">
      <c r="W141" s="110" t="str">
        <f t="shared" si="27"/>
        <v>-</v>
      </c>
    </row>
    <row r="142" spans="23:23">
      <c r="W142" s="110" t="str">
        <f t="shared" si="27"/>
        <v>-</v>
      </c>
    </row>
    <row r="143" spans="23:23">
      <c r="W143" s="110" t="str">
        <f t="shared" si="27"/>
        <v>-</v>
      </c>
    </row>
    <row r="144" spans="23:23">
      <c r="W144" s="110" t="str">
        <f t="shared" si="27"/>
        <v>-</v>
      </c>
    </row>
    <row r="145" spans="23:23">
      <c r="W145" s="110" t="str">
        <f t="shared" si="27"/>
        <v>-</v>
      </c>
    </row>
    <row r="146" spans="23:23">
      <c r="W146" s="110" t="str">
        <f t="shared" si="27"/>
        <v>-</v>
      </c>
    </row>
    <row r="147" spans="23:23">
      <c r="W147" s="110" t="str">
        <f t="shared" si="27"/>
        <v>-</v>
      </c>
    </row>
    <row r="148" spans="23:23">
      <c r="W148" s="110" t="str">
        <f t="shared" si="27"/>
        <v>-</v>
      </c>
    </row>
    <row r="149" spans="23:23">
      <c r="W149" s="110" t="str">
        <f t="shared" si="27"/>
        <v>-</v>
      </c>
    </row>
    <row r="150" spans="23:23">
      <c r="W150" s="110" t="str">
        <f t="shared" si="27"/>
        <v>-</v>
      </c>
    </row>
    <row r="151" spans="23:23">
      <c r="W151" s="110" t="str">
        <f t="shared" si="27"/>
        <v>-</v>
      </c>
    </row>
    <row r="152" spans="23:23">
      <c r="W152" s="110" t="str">
        <f t="shared" si="27"/>
        <v>-</v>
      </c>
    </row>
    <row r="153" spans="23:23">
      <c r="W153" s="110" t="str">
        <f t="shared" si="27"/>
        <v>-</v>
      </c>
    </row>
    <row r="154" spans="23:23">
      <c r="W154" s="110" t="str">
        <f t="shared" si="27"/>
        <v>-</v>
      </c>
    </row>
    <row r="155" spans="23:23">
      <c r="W155" s="110" t="str">
        <f t="shared" si="27"/>
        <v>-</v>
      </c>
    </row>
    <row r="156" spans="23:23">
      <c r="W156" s="110" t="str">
        <f t="shared" si="27"/>
        <v>-</v>
      </c>
    </row>
    <row r="157" spans="23:23">
      <c r="W157" s="110" t="str">
        <f t="shared" si="27"/>
        <v>-</v>
      </c>
    </row>
    <row r="158" spans="23:23">
      <c r="W158" s="110" t="str">
        <f t="shared" si="27"/>
        <v>-</v>
      </c>
    </row>
    <row r="159" spans="23:23">
      <c r="W159" s="110" t="str">
        <f t="shared" si="27"/>
        <v>-</v>
      </c>
    </row>
  </sheetData>
  <mergeCells count="2">
    <mergeCell ref="C6:D6"/>
    <mergeCell ref="I12:J12"/>
  </mergeCells>
  <pageMargins left="0.7" right="0.7" top="0.75" bottom="0.75" header="0.3" footer="0.3"/>
  <pageSetup scale="57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E152-BB58-40CB-A2B1-F06C366A1F61}">
  <sheetPr>
    <pageSetUpPr fitToPage="1"/>
  </sheetPr>
  <dimension ref="A1:W332"/>
  <sheetViews>
    <sheetView tabSelected="1" workbookViewId="0">
      <selection activeCell="N6" sqref="N6"/>
    </sheetView>
  </sheetViews>
  <sheetFormatPr defaultColWidth="9.1796875" defaultRowHeight="14.5"/>
  <cols>
    <col min="1" max="1" width="1.1796875" style="18" customWidth="1"/>
    <col min="2" max="2" width="25.453125" style="18" customWidth="1"/>
    <col min="3" max="3" width="20.7265625" style="18" customWidth="1"/>
    <col min="4" max="4" width="15" style="18" customWidth="1"/>
    <col min="5" max="5" width="14.453125" style="18" customWidth="1"/>
    <col min="6" max="6" width="14.26953125" style="18" customWidth="1"/>
    <col min="7" max="7" width="14.1796875" style="18" customWidth="1"/>
    <col min="8" max="8" width="9.1796875" style="69" customWidth="1"/>
    <col min="9" max="9" width="13.7265625" style="18" customWidth="1"/>
    <col min="10" max="10" width="9.7265625" style="157" customWidth="1"/>
    <col min="11" max="11" width="11.7265625" style="32" customWidth="1"/>
    <col min="12" max="12" width="20" style="32" customWidth="1"/>
    <col min="13" max="13" width="13.1796875" style="32" customWidth="1"/>
    <col min="14" max="14" width="9.1796875" style="32" customWidth="1"/>
    <col min="15" max="15" width="10.26953125" style="32" customWidth="1"/>
    <col min="16" max="16" width="9.1796875" style="32" customWidth="1"/>
    <col min="17" max="17" width="11.7265625" style="18" customWidth="1"/>
    <col min="18" max="18" width="9.1796875" style="18"/>
    <col min="19" max="20" width="17.7265625" style="57" customWidth="1"/>
    <col min="21" max="16384" width="9.1796875" style="18"/>
  </cols>
  <sheetData>
    <row r="1" spans="1:20" ht="66.650000000000006" customHeight="1">
      <c r="B1" s="187"/>
      <c r="C1" s="187"/>
      <c r="D1" s="187"/>
      <c r="E1" s="187"/>
      <c r="F1" s="187"/>
      <c r="G1" s="187"/>
      <c r="H1" s="187"/>
      <c r="I1" s="187"/>
      <c r="J1" s="187"/>
    </row>
    <row r="2" spans="1:20" ht="21">
      <c r="B2" s="116" t="s">
        <v>19</v>
      </c>
      <c r="C2" s="117"/>
      <c r="D2" s="117"/>
      <c r="E2" s="117"/>
      <c r="F2" s="117"/>
      <c r="G2" s="117"/>
      <c r="H2" s="118"/>
      <c r="I2" s="117"/>
      <c r="J2" s="151"/>
    </row>
    <row r="3" spans="1:20" ht="17.149999999999999" customHeight="1">
      <c r="A3" s="17"/>
      <c r="B3" s="112" t="s">
        <v>46</v>
      </c>
      <c r="C3" s="113"/>
      <c r="D3" s="114"/>
      <c r="E3" s="114"/>
      <c r="F3" s="114"/>
      <c r="G3" s="114"/>
      <c r="H3" s="115"/>
      <c r="I3" s="114"/>
      <c r="J3" s="152"/>
    </row>
    <row r="4" spans="1:20" ht="17.149999999999999" customHeight="1" thickBot="1">
      <c r="A4" s="17"/>
      <c r="B4" s="139" t="s">
        <v>78</v>
      </c>
      <c r="C4" s="143"/>
      <c r="D4" s="144"/>
      <c r="E4" s="145"/>
      <c r="F4" s="144"/>
      <c r="G4" s="144"/>
      <c r="H4" s="146"/>
      <c r="I4" s="144"/>
      <c r="J4" s="153"/>
    </row>
    <row r="5" spans="1:20" ht="17.149999999999999" customHeight="1">
      <c r="A5" s="17"/>
      <c r="B5" s="47" t="s">
        <v>20</v>
      </c>
      <c r="C5" s="147">
        <v>108200.72</v>
      </c>
      <c r="D5" s="132"/>
      <c r="E5" s="88"/>
      <c r="F5" s="88"/>
      <c r="G5" s="88"/>
      <c r="H5" s="131"/>
      <c r="I5" s="24"/>
      <c r="J5" s="154"/>
    </row>
    <row r="6" spans="1:20" ht="17.149999999999999" customHeight="1">
      <c r="A6" s="17"/>
      <c r="B6" s="47" t="s">
        <v>38</v>
      </c>
      <c r="C6" s="184">
        <v>46009</v>
      </c>
      <c r="D6" s="185"/>
      <c r="E6" s="88"/>
      <c r="F6" s="88"/>
      <c r="G6" s="88"/>
      <c r="H6" s="131"/>
      <c r="I6" s="24"/>
      <c r="J6" s="154"/>
    </row>
    <row r="7" spans="1:20" ht="17.149999999999999" customHeight="1">
      <c r="A7" s="17"/>
      <c r="B7" s="47" t="s">
        <v>21</v>
      </c>
      <c r="C7" s="126" t="s">
        <v>3</v>
      </c>
      <c r="D7" s="132"/>
      <c r="E7" s="88"/>
      <c r="F7" s="89"/>
      <c r="G7" s="88"/>
      <c r="H7" s="131"/>
      <c r="I7" s="24"/>
      <c r="J7" s="155"/>
    </row>
    <row r="8" spans="1:20" ht="33.65" customHeight="1">
      <c r="A8" s="17"/>
      <c r="B8" s="149" t="s">
        <v>113</v>
      </c>
      <c r="C8" s="148" t="s">
        <v>59</v>
      </c>
      <c r="D8" s="127"/>
      <c r="E8" s="90"/>
      <c r="F8" s="91"/>
      <c r="G8" s="90"/>
      <c r="H8" s="133"/>
      <c r="I8" s="24"/>
      <c r="J8" s="155"/>
    </row>
    <row r="9" spans="1:20" ht="15" customHeight="1">
      <c r="A9" s="17"/>
      <c r="G9" s="24"/>
      <c r="H9" s="138"/>
      <c r="J9" s="156"/>
      <c r="M9" s="36"/>
    </row>
    <row r="10" spans="1:20" ht="17.149999999999999" customHeight="1">
      <c r="A10" s="17"/>
      <c r="B10" s="44"/>
      <c r="C10" s="44"/>
      <c r="D10" s="46"/>
      <c r="E10" s="46"/>
      <c r="F10" s="46"/>
      <c r="G10" s="46"/>
      <c r="H10" s="169"/>
      <c r="I10"/>
      <c r="J10" s="170"/>
    </row>
    <row r="11" spans="1:20" ht="17.149999999999999" customHeight="1">
      <c r="A11" s="17"/>
      <c r="B11" s="44"/>
      <c r="C11" s="119"/>
      <c r="D11" s="46"/>
      <c r="E11" s="54"/>
      <c r="G11" s="134"/>
      <c r="H11" s="66"/>
      <c r="I11" s="54"/>
    </row>
    <row r="12" spans="1:20" ht="17.149999999999999" customHeight="1">
      <c r="A12" s="17"/>
      <c r="B12" s="44"/>
      <c r="C12" s="107"/>
      <c r="D12" s="46"/>
      <c r="E12" s="55"/>
      <c r="G12" s="120"/>
      <c r="H12" s="66"/>
      <c r="I12" s="186"/>
      <c r="J12" s="186"/>
      <c r="L12" s="50"/>
    </row>
    <row r="13" spans="1:20" ht="17.149999999999999" customHeight="1">
      <c r="A13" s="17"/>
      <c r="B13" s="44"/>
      <c r="C13" s="119"/>
      <c r="D13" s="46"/>
      <c r="E13" s="47"/>
      <c r="G13" s="121"/>
      <c r="H13" s="66"/>
      <c r="I13"/>
      <c r="J13" s="158"/>
      <c r="L13" s="50"/>
    </row>
    <row r="14" spans="1:20" ht="17.149999999999999" customHeight="1">
      <c r="A14" s="17"/>
      <c r="B14" s="44"/>
      <c r="C14" s="119"/>
      <c r="D14" s="46"/>
      <c r="E14" s="46"/>
      <c r="F14" s="46"/>
      <c r="G14" s="46"/>
      <c r="H14" s="66"/>
      <c r="I14"/>
      <c r="J14" s="158"/>
    </row>
    <row r="15" spans="1:20" ht="17.149999999999999" customHeight="1" thickBot="1">
      <c r="A15" s="17"/>
      <c r="B15" s="23"/>
      <c r="C15" s="40"/>
      <c r="D15" s="24"/>
      <c r="E15" s="24"/>
      <c r="F15" s="24"/>
      <c r="G15" s="24"/>
      <c r="H15" s="65"/>
      <c r="J15" s="155"/>
    </row>
    <row r="16" spans="1:20" s="30" customFormat="1" ht="63.65" customHeight="1" thickBot="1">
      <c r="B16" s="135" t="s">
        <v>11</v>
      </c>
      <c r="C16" s="136" t="s">
        <v>12</v>
      </c>
      <c r="D16" s="136" t="s">
        <v>81</v>
      </c>
      <c r="E16" s="136" t="s">
        <v>80</v>
      </c>
      <c r="F16" s="136" t="s">
        <v>82</v>
      </c>
      <c r="G16" s="136" t="s">
        <v>83</v>
      </c>
      <c r="H16" s="137" t="s">
        <v>17</v>
      </c>
      <c r="I16" s="136" t="s">
        <v>84</v>
      </c>
      <c r="J16" s="159" t="s">
        <v>45</v>
      </c>
      <c r="K16" s="33"/>
      <c r="L16" s="34"/>
      <c r="M16" s="34"/>
      <c r="N16" s="33"/>
      <c r="O16" s="48"/>
      <c r="P16" s="33"/>
      <c r="Q16" s="33"/>
      <c r="R16" s="33"/>
      <c r="S16" s="58"/>
      <c r="T16" s="58"/>
    </row>
    <row r="17" spans="2:23" ht="16">
      <c r="B17" s="122" cm="1">
        <f t="array" ref="B17:J87">_xlfn._xlws.FILTER('Loan Quote Source'!B17:J525, --'Loan Quote Source'!K17:K525=1)</f>
        <v>46009</v>
      </c>
      <c r="C17" s="122">
        <v>46022</v>
      </c>
      <c r="D17" s="84">
        <v>108200.72</v>
      </c>
      <c r="E17" s="84">
        <v>0</v>
      </c>
      <c r="F17" s="84">
        <v>0</v>
      </c>
      <c r="G17" s="84">
        <v>0</v>
      </c>
      <c r="H17" s="85">
        <v>14</v>
      </c>
      <c r="I17" s="86">
        <v>222.03380624657541</v>
      </c>
      <c r="J17" s="160">
        <v>0</v>
      </c>
      <c r="K17" s="35"/>
      <c r="M17" s="75"/>
      <c r="N17" s="76"/>
      <c r="O17" s="77"/>
      <c r="P17" s="50"/>
      <c r="Q17" s="50"/>
      <c r="R17" s="32"/>
      <c r="S17" s="59"/>
      <c r="U17" s="56"/>
      <c r="V17" s="78"/>
      <c r="W17" s="51"/>
    </row>
    <row r="18" spans="2:23" ht="16">
      <c r="B18" s="122">
        <v>46023</v>
      </c>
      <c r="C18" s="122">
        <v>46053</v>
      </c>
      <c r="D18" s="84">
        <v>108422.75380624658</v>
      </c>
      <c r="E18" s="84">
        <v>0</v>
      </c>
      <c r="F18" s="84">
        <v>0</v>
      </c>
      <c r="G18" s="84">
        <v>0</v>
      </c>
      <c r="H18" s="85">
        <v>31</v>
      </c>
      <c r="I18" s="86">
        <v>492.65517037715063</v>
      </c>
      <c r="J18" s="160">
        <v>0</v>
      </c>
      <c r="K18" s="35"/>
      <c r="L18" s="36"/>
      <c r="M18" s="75"/>
      <c r="N18" s="76"/>
      <c r="O18" s="77"/>
      <c r="P18" s="50"/>
      <c r="Q18" s="50"/>
      <c r="R18" s="32"/>
      <c r="S18" s="59"/>
      <c r="U18" s="51"/>
      <c r="V18" s="78"/>
      <c r="W18" s="51"/>
    </row>
    <row r="19" spans="2:23" ht="16">
      <c r="B19" s="122">
        <v>46054</v>
      </c>
      <c r="C19" s="122">
        <v>46081</v>
      </c>
      <c r="D19" s="84">
        <v>108915.40897662373</v>
      </c>
      <c r="E19" s="84">
        <v>0</v>
      </c>
      <c r="F19" s="84">
        <v>0</v>
      </c>
      <c r="G19" s="84">
        <v>0</v>
      </c>
      <c r="H19" s="85">
        <v>28</v>
      </c>
      <c r="I19" s="86">
        <v>447.00077437529421</v>
      </c>
      <c r="J19" s="160">
        <v>0</v>
      </c>
      <c r="K19" s="35"/>
      <c r="L19" s="36"/>
      <c r="M19" s="75"/>
      <c r="N19" s="76"/>
      <c r="O19" s="77"/>
      <c r="P19" s="50"/>
      <c r="Q19" s="50"/>
      <c r="R19" s="32"/>
      <c r="S19" s="59"/>
      <c r="U19" s="51"/>
      <c r="V19" s="78"/>
      <c r="W19" s="51"/>
    </row>
    <row r="20" spans="2:23" ht="16">
      <c r="B20" s="122">
        <v>46082</v>
      </c>
      <c r="C20" s="122">
        <v>46112</v>
      </c>
      <c r="D20" s="84">
        <v>109362.40975099902</v>
      </c>
      <c r="E20" s="84">
        <v>0</v>
      </c>
      <c r="F20" s="84">
        <v>0</v>
      </c>
      <c r="G20" s="84">
        <v>0</v>
      </c>
      <c r="H20" s="85">
        <v>31</v>
      </c>
      <c r="I20" s="86">
        <v>496.92481252611486</v>
      </c>
      <c r="J20" s="160">
        <v>0</v>
      </c>
      <c r="K20" s="35"/>
      <c r="L20" s="36"/>
      <c r="M20" s="75"/>
      <c r="N20" s="76"/>
      <c r="O20" s="77"/>
      <c r="P20" s="50"/>
      <c r="Q20" s="50"/>
      <c r="R20" s="32"/>
      <c r="S20" s="59"/>
      <c r="U20" s="51"/>
      <c r="V20" s="78"/>
      <c r="W20" s="51"/>
    </row>
    <row r="21" spans="2:23" ht="16">
      <c r="B21" s="122">
        <v>46113</v>
      </c>
      <c r="C21" s="122">
        <v>46142</v>
      </c>
      <c r="D21" s="84">
        <v>109859.33456352515</v>
      </c>
      <c r="E21" s="84">
        <v>0</v>
      </c>
      <c r="F21" s="84">
        <v>0</v>
      </c>
      <c r="G21" s="84">
        <v>0</v>
      </c>
      <c r="H21" s="85">
        <v>30</v>
      </c>
      <c r="I21" s="86">
        <v>483.08008760125449</v>
      </c>
      <c r="J21" s="160">
        <v>0</v>
      </c>
      <c r="K21" s="35"/>
      <c r="L21" s="36"/>
      <c r="M21" s="75"/>
      <c r="N21" s="76"/>
      <c r="O21" s="77"/>
      <c r="P21" s="50"/>
      <c r="Q21" s="50"/>
      <c r="R21" s="32"/>
      <c r="S21" s="59"/>
      <c r="U21" s="51"/>
      <c r="V21" s="78"/>
      <c r="W21" s="51"/>
    </row>
    <row r="22" spans="2:23" ht="16">
      <c r="B22" s="122">
        <v>46143</v>
      </c>
      <c r="C22" s="122">
        <v>46173</v>
      </c>
      <c r="D22" s="84">
        <v>110342.4146511264</v>
      </c>
      <c r="E22" s="84">
        <v>0</v>
      </c>
      <c r="F22" s="84">
        <v>0</v>
      </c>
      <c r="G22" s="84">
        <v>0</v>
      </c>
      <c r="H22" s="85">
        <v>31</v>
      </c>
      <c r="I22" s="86">
        <v>501.37779369559775</v>
      </c>
      <c r="J22" s="160">
        <v>0</v>
      </c>
      <c r="K22" s="35"/>
      <c r="L22" s="36"/>
      <c r="M22" s="75"/>
      <c r="N22" s="76"/>
      <c r="O22" s="77"/>
      <c r="P22" s="50"/>
      <c r="Q22" s="50"/>
      <c r="R22" s="32"/>
      <c r="S22" s="59"/>
      <c r="U22" s="51"/>
      <c r="V22" s="78"/>
      <c r="W22" s="51"/>
    </row>
    <row r="23" spans="2:23" ht="16">
      <c r="B23" s="122">
        <v>46174</v>
      </c>
      <c r="C23" s="122">
        <v>46188</v>
      </c>
      <c r="D23" s="84">
        <v>110843.792444822</v>
      </c>
      <c r="E23" s="84">
        <v>0</v>
      </c>
      <c r="F23" s="84">
        <v>0</v>
      </c>
      <c r="G23" s="84">
        <v>0</v>
      </c>
      <c r="H23" s="85">
        <v>15</v>
      </c>
      <c r="I23" s="86">
        <v>243.70450256704018</v>
      </c>
      <c r="J23" s="160">
        <v>0</v>
      </c>
      <c r="K23" s="35"/>
      <c r="L23" s="36"/>
      <c r="M23" s="75"/>
      <c r="N23" s="76"/>
      <c r="O23" s="77"/>
      <c r="P23" s="50"/>
      <c r="Q23" s="50"/>
      <c r="R23" s="32"/>
      <c r="S23" s="59"/>
      <c r="U23" s="51"/>
      <c r="V23" s="78"/>
      <c r="W23" s="51"/>
    </row>
    <row r="24" spans="2:23" ht="16">
      <c r="B24" s="122">
        <v>46189</v>
      </c>
      <c r="C24" s="122">
        <v>46203</v>
      </c>
      <c r="D24" s="84">
        <v>110843.792444822</v>
      </c>
      <c r="E24" s="84">
        <v>0</v>
      </c>
      <c r="F24" s="84">
        <v>0</v>
      </c>
      <c r="G24" s="84">
        <v>0</v>
      </c>
      <c r="H24" s="85">
        <v>15</v>
      </c>
      <c r="I24" s="86">
        <v>243.70450256704018</v>
      </c>
      <c r="J24" s="160">
        <v>0</v>
      </c>
      <c r="K24" s="35"/>
      <c r="L24" s="36"/>
      <c r="M24" s="75"/>
      <c r="N24" s="76"/>
      <c r="O24" s="77"/>
      <c r="P24" s="50"/>
      <c r="Q24" s="50"/>
      <c r="R24" s="32"/>
      <c r="S24" s="59"/>
      <c r="U24" s="51"/>
      <c r="V24" s="78"/>
      <c r="W24" s="51"/>
    </row>
    <row r="25" spans="2:23" ht="16">
      <c r="B25" s="122">
        <v>46204</v>
      </c>
      <c r="C25" s="122">
        <v>46234</v>
      </c>
      <c r="D25" s="84">
        <v>111331.20144995608</v>
      </c>
      <c r="E25" s="84">
        <v>0</v>
      </c>
      <c r="F25" s="84">
        <v>0</v>
      </c>
      <c r="G25" s="84">
        <v>0</v>
      </c>
      <c r="H25" s="85">
        <v>31</v>
      </c>
      <c r="I25" s="86">
        <v>505.87067836918408</v>
      </c>
      <c r="J25" s="160">
        <v>0</v>
      </c>
      <c r="K25" s="35"/>
      <c r="L25" s="36"/>
      <c r="M25" s="75"/>
      <c r="N25" s="76"/>
      <c r="O25" s="77"/>
      <c r="P25" s="50"/>
      <c r="Q25" s="50"/>
      <c r="R25" s="32"/>
      <c r="S25" s="59"/>
      <c r="U25" s="51"/>
      <c r="V25" s="78"/>
      <c r="W25" s="51"/>
    </row>
    <row r="26" spans="2:23" ht="16">
      <c r="B26" s="122">
        <v>46235</v>
      </c>
      <c r="C26" s="122">
        <v>46265</v>
      </c>
      <c r="D26" s="84">
        <v>111837.07212832526</v>
      </c>
      <c r="E26" s="84">
        <v>0</v>
      </c>
      <c r="F26" s="84">
        <v>0</v>
      </c>
      <c r="G26" s="84">
        <v>0</v>
      </c>
      <c r="H26" s="85">
        <v>31</v>
      </c>
      <c r="I26" s="86">
        <v>508.16927157486987</v>
      </c>
      <c r="J26" s="160">
        <v>0</v>
      </c>
      <c r="K26" s="35"/>
      <c r="L26" s="36"/>
      <c r="M26" s="75"/>
      <c r="N26" s="76"/>
      <c r="O26" s="77"/>
      <c r="P26" s="50"/>
      <c r="Q26" s="50"/>
      <c r="R26" s="32"/>
      <c r="S26" s="59"/>
      <c r="U26" s="51"/>
      <c r="V26" s="78"/>
      <c r="W26" s="51"/>
    </row>
    <row r="27" spans="2:23" ht="16">
      <c r="B27" s="122">
        <v>46266</v>
      </c>
      <c r="C27" s="122">
        <v>46295</v>
      </c>
      <c r="D27" s="84">
        <v>112345.24139990013</v>
      </c>
      <c r="E27" s="84">
        <v>0</v>
      </c>
      <c r="F27" s="84">
        <v>0</v>
      </c>
      <c r="G27" s="84">
        <v>0</v>
      </c>
      <c r="H27" s="85">
        <v>30</v>
      </c>
      <c r="I27" s="86">
        <v>494.01126697764312</v>
      </c>
      <c r="J27" s="160">
        <v>0</v>
      </c>
      <c r="K27" s="35"/>
      <c r="L27" s="36"/>
      <c r="M27" s="75"/>
      <c r="N27" s="76"/>
      <c r="O27" s="77"/>
      <c r="P27" s="50"/>
      <c r="Q27" s="50"/>
      <c r="R27" s="32"/>
      <c r="S27" s="59"/>
      <c r="U27" s="51"/>
      <c r="V27" s="78"/>
      <c r="W27" s="51"/>
    </row>
    <row r="28" spans="2:23" ht="16">
      <c r="B28" s="122">
        <v>46296</v>
      </c>
      <c r="C28" s="122">
        <v>46326</v>
      </c>
      <c r="D28" s="84">
        <v>112839.25266687777</v>
      </c>
      <c r="E28" s="84">
        <v>0</v>
      </c>
      <c r="F28" s="84">
        <v>0</v>
      </c>
      <c r="G28" s="84">
        <v>0</v>
      </c>
      <c r="H28" s="85">
        <v>31</v>
      </c>
      <c r="I28" s="86">
        <v>512.72301520004612</v>
      </c>
      <c r="J28" s="160">
        <v>0</v>
      </c>
      <c r="K28" s="35"/>
      <c r="L28" s="36"/>
      <c r="M28" s="75"/>
      <c r="N28" s="76"/>
      <c r="O28" s="77"/>
      <c r="P28" s="50"/>
      <c r="Q28" s="50"/>
      <c r="R28" s="77"/>
      <c r="S28" s="59"/>
      <c r="U28" s="51"/>
      <c r="V28" s="78"/>
      <c r="W28" s="51"/>
    </row>
    <row r="29" spans="2:23" ht="16">
      <c r="B29" s="122">
        <v>46327</v>
      </c>
      <c r="C29" s="122">
        <v>46356</v>
      </c>
      <c r="D29" s="84">
        <v>113351.97568207781</v>
      </c>
      <c r="E29" s="84">
        <v>0</v>
      </c>
      <c r="F29" s="84">
        <v>0</v>
      </c>
      <c r="G29" s="84">
        <v>0</v>
      </c>
      <c r="H29" s="85">
        <v>30</v>
      </c>
      <c r="I29" s="86">
        <v>498.43813964310937</v>
      </c>
      <c r="J29" s="160">
        <v>0</v>
      </c>
      <c r="K29" s="35"/>
      <c r="L29" s="36"/>
      <c r="M29" s="75"/>
      <c r="N29" s="76"/>
      <c r="O29" s="77"/>
      <c r="P29" s="50"/>
      <c r="Q29" s="50"/>
      <c r="R29" s="32"/>
      <c r="S29" s="59"/>
      <c r="U29" s="51"/>
      <c r="V29" s="78"/>
      <c r="W29" s="51"/>
    </row>
    <row r="30" spans="2:23" ht="16">
      <c r="B30" s="122">
        <v>46357</v>
      </c>
      <c r="C30" s="122">
        <v>46371</v>
      </c>
      <c r="D30" s="84">
        <v>113850.41382172093</v>
      </c>
      <c r="E30" s="84">
        <v>21640.14</v>
      </c>
      <c r="F30" s="84">
        <v>5900.0087726577167</v>
      </c>
      <c r="G30" s="84">
        <v>27540.148772657718</v>
      </c>
      <c r="H30" s="85">
        <v>15</v>
      </c>
      <c r="I30" s="86">
        <v>250.31495093679743</v>
      </c>
      <c r="J30" s="160">
        <v>0.2</v>
      </c>
      <c r="K30" s="35"/>
      <c r="L30" s="36"/>
      <c r="M30" s="75"/>
      <c r="N30" s="76"/>
      <c r="O30" s="77"/>
      <c r="P30" s="50"/>
      <c r="Q30" s="50"/>
      <c r="R30" s="32"/>
      <c r="S30" s="59"/>
      <c r="U30" s="51"/>
      <c r="V30" s="78"/>
      <c r="W30" s="51"/>
    </row>
    <row r="31" spans="2:23" ht="16">
      <c r="B31" s="122">
        <v>46372</v>
      </c>
      <c r="C31" s="122">
        <v>46387</v>
      </c>
      <c r="D31" s="84">
        <v>86560.58</v>
      </c>
      <c r="E31" s="84">
        <v>0</v>
      </c>
      <c r="F31" s="84">
        <v>0</v>
      </c>
      <c r="G31" s="84">
        <v>0</v>
      </c>
      <c r="H31" s="85">
        <v>16</v>
      </c>
      <c r="I31" s="86">
        <v>203.00234652054797</v>
      </c>
      <c r="J31" s="160">
        <v>0</v>
      </c>
      <c r="K31" s="35"/>
      <c r="L31" s="36"/>
      <c r="M31" s="75"/>
      <c r="N31" s="76"/>
      <c r="O31" s="77"/>
      <c r="P31" s="50"/>
      <c r="Q31" s="50"/>
      <c r="R31" s="32"/>
      <c r="S31" s="59"/>
      <c r="U31" s="51"/>
      <c r="V31" s="78"/>
      <c r="W31" s="51"/>
    </row>
    <row r="32" spans="2:23" ht="16">
      <c r="B32" s="122">
        <v>46388</v>
      </c>
      <c r="C32" s="122">
        <v>46418</v>
      </c>
      <c r="D32" s="84">
        <v>86763.582346520547</v>
      </c>
      <c r="E32" s="84">
        <v>0</v>
      </c>
      <c r="F32" s="84">
        <v>0</v>
      </c>
      <c r="G32" s="84">
        <v>0</v>
      </c>
      <c r="H32" s="85">
        <v>31</v>
      </c>
      <c r="I32" s="86">
        <v>394.23945567590238</v>
      </c>
      <c r="J32" s="160">
        <v>0</v>
      </c>
      <c r="K32" s="35"/>
      <c r="L32" s="36"/>
      <c r="M32" s="75"/>
      <c r="N32" s="76"/>
      <c r="O32" s="77"/>
      <c r="P32" s="50"/>
      <c r="Q32" s="50"/>
      <c r="R32" s="32"/>
      <c r="S32" s="59"/>
      <c r="U32" s="51"/>
      <c r="V32" s="78"/>
      <c r="W32" s="51"/>
    </row>
    <row r="33" spans="2:23" ht="16">
      <c r="B33" s="122">
        <v>46419</v>
      </c>
      <c r="C33" s="122">
        <v>46446</v>
      </c>
      <c r="D33" s="84">
        <v>87157.821802196442</v>
      </c>
      <c r="E33" s="84">
        <v>0</v>
      </c>
      <c r="F33" s="84">
        <v>0</v>
      </c>
      <c r="G33" s="84">
        <v>0</v>
      </c>
      <c r="H33" s="85">
        <v>28</v>
      </c>
      <c r="I33" s="86">
        <v>357.70525221832958</v>
      </c>
      <c r="J33" s="160">
        <v>0</v>
      </c>
      <c r="K33" s="35"/>
      <c r="L33" s="36"/>
      <c r="M33" s="75"/>
      <c r="N33" s="76"/>
      <c r="O33" s="77"/>
      <c r="P33" s="50"/>
      <c r="Q33" s="50"/>
      <c r="R33" s="50"/>
      <c r="S33" s="59"/>
      <c r="U33" s="51"/>
      <c r="V33" s="78"/>
      <c r="W33" s="51"/>
    </row>
    <row r="34" spans="2:23" ht="16">
      <c r="B34" s="122">
        <v>46447</v>
      </c>
      <c r="C34" s="122">
        <v>46477</v>
      </c>
      <c r="D34" s="84">
        <v>87515.527054414779</v>
      </c>
      <c r="E34" s="84">
        <v>0</v>
      </c>
      <c r="F34" s="84">
        <v>0</v>
      </c>
      <c r="G34" s="84">
        <v>0</v>
      </c>
      <c r="H34" s="85">
        <v>31</v>
      </c>
      <c r="I34" s="86">
        <v>397.65616882122447</v>
      </c>
      <c r="J34" s="160">
        <v>0</v>
      </c>
      <c r="K34" s="35"/>
      <c r="L34" s="36"/>
      <c r="M34" s="75"/>
      <c r="N34" s="76"/>
      <c r="O34" s="77"/>
      <c r="P34" s="50"/>
      <c r="Q34" s="50"/>
      <c r="R34" s="32"/>
      <c r="S34" s="59"/>
      <c r="U34" s="51"/>
      <c r="V34" s="78"/>
      <c r="W34" s="51"/>
    </row>
    <row r="35" spans="2:23" ht="16">
      <c r="B35" s="122">
        <v>46478</v>
      </c>
      <c r="C35" s="122">
        <v>46507</v>
      </c>
      <c r="D35" s="84">
        <v>87913.183223236003</v>
      </c>
      <c r="E35" s="84">
        <v>0</v>
      </c>
      <c r="F35" s="84">
        <v>0</v>
      </c>
      <c r="G35" s="84">
        <v>0</v>
      </c>
      <c r="H35" s="85">
        <v>30</v>
      </c>
      <c r="I35" s="86">
        <v>386.57714814601042</v>
      </c>
      <c r="J35" s="160">
        <v>0</v>
      </c>
      <c r="K35" s="35"/>
      <c r="L35" s="36"/>
      <c r="M35" s="75"/>
      <c r="N35" s="76"/>
      <c r="O35" s="77"/>
      <c r="P35" s="50"/>
      <c r="Q35" s="50"/>
      <c r="R35" s="32"/>
      <c r="S35" s="59"/>
      <c r="U35" s="51"/>
      <c r="V35" s="78"/>
      <c r="W35" s="51"/>
    </row>
    <row r="36" spans="2:23" ht="16">
      <c r="B36" s="122">
        <v>46508</v>
      </c>
      <c r="C36" s="122">
        <v>46538</v>
      </c>
      <c r="D36" s="84">
        <v>88299.760371382014</v>
      </c>
      <c r="E36" s="84">
        <v>0</v>
      </c>
      <c r="F36" s="84">
        <v>0</v>
      </c>
      <c r="G36" s="84">
        <v>0</v>
      </c>
      <c r="H36" s="85">
        <v>31</v>
      </c>
      <c r="I36" s="86">
        <v>401.21959609845777</v>
      </c>
      <c r="J36" s="160">
        <v>0</v>
      </c>
      <c r="K36" s="35"/>
      <c r="L36" s="36"/>
      <c r="M36" s="75"/>
      <c r="N36" s="76"/>
      <c r="O36" s="77"/>
      <c r="P36" s="50"/>
      <c r="Q36" s="32"/>
      <c r="R36" s="32"/>
      <c r="S36" s="59"/>
      <c r="U36" s="51"/>
      <c r="V36" s="78"/>
      <c r="W36" s="51"/>
    </row>
    <row r="37" spans="2:23" ht="16">
      <c r="B37" s="122">
        <v>46539</v>
      </c>
      <c r="C37" s="122">
        <v>46553</v>
      </c>
      <c r="D37" s="84">
        <v>88700.979967480467</v>
      </c>
      <c r="E37" s="84">
        <v>0</v>
      </c>
      <c r="F37" s="84">
        <v>0</v>
      </c>
      <c r="G37" s="84">
        <v>0</v>
      </c>
      <c r="H37" s="85">
        <v>15</v>
      </c>
      <c r="I37" s="86">
        <v>195.02064773672078</v>
      </c>
      <c r="J37" s="160">
        <v>0</v>
      </c>
      <c r="K37" s="35"/>
      <c r="L37" s="36"/>
      <c r="M37" s="75"/>
      <c r="N37" s="76"/>
      <c r="O37" s="77"/>
      <c r="P37" s="50"/>
      <c r="Q37" s="32"/>
      <c r="R37" s="32"/>
      <c r="S37" s="59"/>
      <c r="U37" s="51"/>
      <c r="V37" s="78"/>
      <c r="W37" s="51"/>
    </row>
    <row r="38" spans="2:23" ht="16">
      <c r="B38" s="122">
        <v>46554</v>
      </c>
      <c r="C38" s="122">
        <v>46568</v>
      </c>
      <c r="D38" s="84">
        <v>88700.979967480467</v>
      </c>
      <c r="E38" s="84">
        <v>0</v>
      </c>
      <c r="F38" s="84">
        <v>0</v>
      </c>
      <c r="G38" s="84">
        <v>0</v>
      </c>
      <c r="H38" s="85">
        <v>15</v>
      </c>
      <c r="I38" s="86">
        <v>195.02064773672078</v>
      </c>
      <c r="J38" s="160">
        <v>0</v>
      </c>
      <c r="K38" s="35"/>
      <c r="L38" s="36"/>
      <c r="M38" s="75"/>
      <c r="N38" s="76"/>
      <c r="O38" s="77"/>
      <c r="P38" s="50"/>
      <c r="Q38" s="32"/>
      <c r="R38" s="32"/>
      <c r="S38" s="59"/>
      <c r="U38" s="51"/>
      <c r="V38" s="78"/>
      <c r="W38" s="51"/>
    </row>
    <row r="39" spans="2:23" ht="16">
      <c r="B39" s="122">
        <v>46569</v>
      </c>
      <c r="C39" s="122">
        <v>46599</v>
      </c>
      <c r="D39" s="84">
        <v>89091.021262953902</v>
      </c>
      <c r="E39" s="84">
        <v>0</v>
      </c>
      <c r="F39" s="84">
        <v>0</v>
      </c>
      <c r="G39" s="84">
        <v>0</v>
      </c>
      <c r="H39" s="85">
        <v>31</v>
      </c>
      <c r="I39" s="86">
        <v>404.81495551947694</v>
      </c>
      <c r="J39" s="160">
        <v>0</v>
      </c>
      <c r="K39" s="35"/>
      <c r="L39" s="36"/>
      <c r="M39" s="75"/>
      <c r="N39" s="76"/>
      <c r="O39" s="77"/>
      <c r="P39" s="50"/>
      <c r="Q39" s="32"/>
      <c r="R39" s="32"/>
      <c r="S39" s="59"/>
      <c r="U39" s="51"/>
      <c r="V39" s="78"/>
      <c r="W39" s="51"/>
    </row>
    <row r="40" spans="2:23" ht="16">
      <c r="B40" s="122">
        <v>46600</v>
      </c>
      <c r="C40" s="122">
        <v>46630</v>
      </c>
      <c r="D40" s="84">
        <v>89495.836218473385</v>
      </c>
      <c r="E40" s="84">
        <v>0</v>
      </c>
      <c r="F40" s="84">
        <v>0</v>
      </c>
      <c r="G40" s="84">
        <v>0</v>
      </c>
      <c r="H40" s="85">
        <v>31</v>
      </c>
      <c r="I40" s="86">
        <v>406.65436813243321</v>
      </c>
      <c r="J40" s="160">
        <v>0</v>
      </c>
      <c r="K40" s="35"/>
      <c r="L40" s="36"/>
      <c r="M40" s="75"/>
      <c r="N40" s="76"/>
      <c r="O40" s="77"/>
      <c r="P40" s="50"/>
      <c r="Q40" s="32"/>
      <c r="R40" s="32"/>
      <c r="S40" s="59"/>
      <c r="U40" s="51"/>
      <c r="V40" s="78"/>
      <c r="W40" s="51"/>
    </row>
    <row r="41" spans="2:23" ht="16">
      <c r="B41" s="122">
        <v>46631</v>
      </c>
      <c r="C41" s="122">
        <v>46660</v>
      </c>
      <c r="D41" s="84">
        <v>89902.490586605825</v>
      </c>
      <c r="E41" s="84">
        <v>0</v>
      </c>
      <c r="F41" s="84">
        <v>0</v>
      </c>
      <c r="G41" s="84">
        <v>0</v>
      </c>
      <c r="H41" s="85">
        <v>30</v>
      </c>
      <c r="I41" s="86">
        <v>395.32465038767776</v>
      </c>
      <c r="J41" s="160">
        <v>0</v>
      </c>
      <c r="K41" s="35"/>
      <c r="L41" s="36"/>
      <c r="M41" s="75"/>
      <c r="N41" s="76"/>
      <c r="O41" s="77"/>
      <c r="P41" s="50"/>
      <c r="Q41" s="32"/>
      <c r="R41" s="32"/>
      <c r="S41" s="59"/>
      <c r="U41" s="51"/>
      <c r="V41" s="78"/>
      <c r="W41" s="51"/>
    </row>
    <row r="42" spans="2:23" ht="16">
      <c r="B42" s="122">
        <v>46661</v>
      </c>
      <c r="C42" s="122">
        <v>46691</v>
      </c>
      <c r="D42" s="84">
        <v>90297.815236993498</v>
      </c>
      <c r="E42" s="84">
        <v>0</v>
      </c>
      <c r="F42" s="84">
        <v>0</v>
      </c>
      <c r="G42" s="84">
        <v>0</v>
      </c>
      <c r="H42" s="85">
        <v>31</v>
      </c>
      <c r="I42" s="86">
        <v>410.29842896042123</v>
      </c>
      <c r="J42" s="160">
        <v>0</v>
      </c>
      <c r="K42" s="35"/>
      <c r="L42" s="36"/>
      <c r="M42" s="75"/>
      <c r="N42" s="76"/>
      <c r="O42" s="77"/>
      <c r="P42" s="50"/>
      <c r="Q42" s="32"/>
      <c r="R42" s="32"/>
      <c r="S42" s="59"/>
      <c r="U42" s="51"/>
      <c r="V42" s="78"/>
      <c r="W42" s="51"/>
    </row>
    <row r="43" spans="2:23" ht="16">
      <c r="B43" s="122">
        <v>46692</v>
      </c>
      <c r="C43" s="122">
        <v>46721</v>
      </c>
      <c r="D43" s="84">
        <v>90708.113665953919</v>
      </c>
      <c r="E43" s="84">
        <v>0</v>
      </c>
      <c r="F43" s="84">
        <v>0</v>
      </c>
      <c r="G43" s="84">
        <v>0</v>
      </c>
      <c r="H43" s="85">
        <v>30</v>
      </c>
      <c r="I43" s="86">
        <v>398.86718475029062</v>
      </c>
      <c r="J43" s="160">
        <v>0</v>
      </c>
      <c r="K43" s="35"/>
      <c r="L43" s="36"/>
      <c r="M43" s="75"/>
      <c r="N43" s="76"/>
      <c r="O43" s="77"/>
      <c r="P43" s="50"/>
      <c r="Q43" s="32"/>
      <c r="R43" s="52"/>
      <c r="S43" s="59"/>
      <c r="U43" s="51"/>
      <c r="V43" s="78"/>
      <c r="W43" s="51"/>
    </row>
    <row r="44" spans="2:23" ht="16">
      <c r="B44" s="122">
        <v>46722</v>
      </c>
      <c r="C44" s="122">
        <v>46736</v>
      </c>
      <c r="D44" s="84">
        <v>91106.980850704203</v>
      </c>
      <c r="E44" s="84">
        <v>21640.15</v>
      </c>
      <c r="F44" s="84">
        <v>4746.7114044924074</v>
      </c>
      <c r="G44" s="84">
        <v>26386.861404492411</v>
      </c>
      <c r="H44" s="85">
        <v>15</v>
      </c>
      <c r="I44" s="86">
        <v>200.31055378819215</v>
      </c>
      <c r="J44" s="160">
        <v>0.25</v>
      </c>
      <c r="K44" s="35"/>
      <c r="L44" s="36"/>
      <c r="M44" s="75"/>
      <c r="N44" s="76"/>
      <c r="O44" s="77"/>
      <c r="P44" s="50"/>
      <c r="Q44" s="32"/>
      <c r="R44" s="32"/>
      <c r="S44" s="59"/>
      <c r="U44" s="51"/>
      <c r="V44" s="78"/>
      <c r="W44" s="51"/>
    </row>
    <row r="45" spans="2:23" ht="16">
      <c r="B45" s="122">
        <v>46737</v>
      </c>
      <c r="C45" s="122">
        <v>46752</v>
      </c>
      <c r="D45" s="84">
        <v>64920.429999999986</v>
      </c>
      <c r="E45" s="84">
        <v>0</v>
      </c>
      <c r="F45" s="84">
        <v>0</v>
      </c>
      <c r="G45" s="84">
        <v>0</v>
      </c>
      <c r="H45" s="85">
        <v>16</v>
      </c>
      <c r="I45" s="86">
        <v>152.25174816438354</v>
      </c>
      <c r="J45" s="160">
        <v>0</v>
      </c>
      <c r="K45" s="35"/>
      <c r="L45" s="36"/>
      <c r="M45" s="75"/>
      <c r="N45" s="76"/>
      <c r="O45" s="77"/>
      <c r="P45" s="50"/>
      <c r="Q45" s="32"/>
      <c r="R45" s="32"/>
      <c r="S45" s="59"/>
      <c r="U45" s="51"/>
      <c r="V45" s="78"/>
      <c r="W45" s="51"/>
    </row>
    <row r="46" spans="2:23" ht="16">
      <c r="B46" s="122">
        <v>46753</v>
      </c>
      <c r="C46" s="122">
        <v>46783</v>
      </c>
      <c r="D46" s="84">
        <v>65072.681748164367</v>
      </c>
      <c r="E46" s="84">
        <v>0</v>
      </c>
      <c r="F46" s="84">
        <v>0</v>
      </c>
      <c r="G46" s="84">
        <v>0</v>
      </c>
      <c r="H46" s="85">
        <v>31</v>
      </c>
      <c r="I46" s="86">
        <v>294.87170130964648</v>
      </c>
      <c r="J46" s="160">
        <v>0</v>
      </c>
      <c r="K46" s="35"/>
      <c r="L46" s="36"/>
      <c r="M46" s="75"/>
      <c r="N46" s="76"/>
      <c r="O46" s="77"/>
      <c r="P46" s="50"/>
      <c r="Q46" s="32"/>
      <c r="R46" s="32"/>
      <c r="S46" s="59"/>
      <c r="U46" s="51"/>
      <c r="V46" s="78"/>
      <c r="W46" s="51"/>
    </row>
    <row r="47" spans="2:23" ht="16">
      <c r="B47" s="122">
        <v>46784</v>
      </c>
      <c r="C47" s="122">
        <v>46812</v>
      </c>
      <c r="D47" s="84">
        <v>65367.553449474013</v>
      </c>
      <c r="E47" s="84">
        <v>0</v>
      </c>
      <c r="F47" s="84">
        <v>0</v>
      </c>
      <c r="G47" s="84">
        <v>0</v>
      </c>
      <c r="H47" s="85">
        <v>29</v>
      </c>
      <c r="I47" s="86">
        <v>277.09770266901353</v>
      </c>
      <c r="J47" s="160">
        <v>0</v>
      </c>
      <c r="K47" s="35"/>
      <c r="L47" s="36"/>
      <c r="M47" s="75"/>
      <c r="N47" s="76"/>
      <c r="O47" s="77"/>
      <c r="P47" s="50"/>
      <c r="Q47" s="32"/>
      <c r="R47" s="32"/>
      <c r="S47" s="59"/>
      <c r="U47" s="51"/>
      <c r="V47" s="78"/>
      <c r="W47" s="51"/>
    </row>
    <row r="48" spans="2:23" ht="16">
      <c r="B48" s="122">
        <v>46813</v>
      </c>
      <c r="C48" s="122">
        <v>46843</v>
      </c>
      <c r="D48" s="84">
        <v>65644.651152143022</v>
      </c>
      <c r="E48" s="84">
        <v>0</v>
      </c>
      <c r="F48" s="84">
        <v>0</v>
      </c>
      <c r="G48" s="84">
        <v>0</v>
      </c>
      <c r="H48" s="85">
        <v>31</v>
      </c>
      <c r="I48" s="86">
        <v>297.46353534379568</v>
      </c>
      <c r="J48" s="160">
        <v>0</v>
      </c>
      <c r="K48" s="35"/>
      <c r="L48" s="36"/>
      <c r="M48" s="75"/>
      <c r="N48" s="76"/>
      <c r="O48" s="77"/>
      <c r="P48" s="50"/>
      <c r="Q48" s="32"/>
      <c r="R48" s="32"/>
      <c r="S48" s="59"/>
      <c r="U48" s="51"/>
      <c r="V48" s="78"/>
      <c r="W48" s="51"/>
    </row>
    <row r="49" spans="2:21" ht="16">
      <c r="B49" s="122">
        <v>46844</v>
      </c>
      <c r="C49" s="122">
        <v>46873</v>
      </c>
      <c r="D49" s="84">
        <v>65942.114687486814</v>
      </c>
      <c r="E49" s="84">
        <v>0</v>
      </c>
      <c r="F49" s="84">
        <v>0</v>
      </c>
      <c r="G49" s="84">
        <v>0</v>
      </c>
      <c r="H49" s="85">
        <v>30</v>
      </c>
      <c r="I49" s="86">
        <v>289.17238817873323</v>
      </c>
      <c r="J49" s="160">
        <v>0</v>
      </c>
      <c r="K49" s="35"/>
      <c r="L49" s="36"/>
      <c r="M49" s="75"/>
      <c r="N49" s="76"/>
      <c r="O49" s="77"/>
      <c r="P49" s="50"/>
      <c r="Q49" s="32"/>
      <c r="R49" s="32"/>
      <c r="S49" s="59"/>
      <c r="U49" s="51"/>
    </row>
    <row r="50" spans="2:21" ht="16">
      <c r="B50" s="122">
        <v>46874</v>
      </c>
      <c r="C50" s="122">
        <v>46904</v>
      </c>
      <c r="D50" s="84">
        <v>66231.287075665547</v>
      </c>
      <c r="E50" s="84">
        <v>0</v>
      </c>
      <c r="F50" s="84">
        <v>0</v>
      </c>
      <c r="G50" s="84">
        <v>0</v>
      </c>
      <c r="H50" s="85">
        <v>31</v>
      </c>
      <c r="I50" s="86">
        <v>300.12182954915659</v>
      </c>
      <c r="J50" s="160">
        <v>0</v>
      </c>
      <c r="K50" s="35"/>
      <c r="L50" s="36"/>
      <c r="M50" s="75"/>
      <c r="N50" s="76"/>
      <c r="O50" s="77"/>
      <c r="P50" s="50"/>
      <c r="Q50" s="32"/>
      <c r="R50" s="32"/>
      <c r="S50" s="59"/>
      <c r="U50" s="51"/>
    </row>
    <row r="51" spans="2:21" ht="16">
      <c r="B51" s="122">
        <v>46905</v>
      </c>
      <c r="C51" s="122">
        <v>46919</v>
      </c>
      <c r="D51" s="84">
        <v>66531.408905214703</v>
      </c>
      <c r="E51" s="84">
        <v>0</v>
      </c>
      <c r="F51" s="84">
        <v>0</v>
      </c>
      <c r="G51" s="84">
        <v>0</v>
      </c>
      <c r="H51" s="85">
        <v>15</v>
      </c>
      <c r="I51" s="86">
        <v>145.87829411594211</v>
      </c>
      <c r="J51" s="160">
        <v>0</v>
      </c>
      <c r="K51" s="35"/>
      <c r="L51" s="36"/>
      <c r="M51" s="75"/>
      <c r="N51" s="76"/>
      <c r="O51" s="77"/>
      <c r="P51" s="50"/>
      <c r="Q51" s="32"/>
      <c r="R51" s="32"/>
      <c r="S51" s="59"/>
      <c r="U51" s="51"/>
    </row>
    <row r="52" spans="2:21" ht="16">
      <c r="B52" s="122">
        <v>46920</v>
      </c>
      <c r="C52" s="122">
        <v>46934</v>
      </c>
      <c r="D52" s="84">
        <v>66531.408905214703</v>
      </c>
      <c r="E52" s="84">
        <v>0</v>
      </c>
      <c r="F52" s="84">
        <v>0</v>
      </c>
      <c r="G52" s="84">
        <v>0</v>
      </c>
      <c r="H52" s="85">
        <v>15</v>
      </c>
      <c r="I52" s="86">
        <v>145.87829411594211</v>
      </c>
      <c r="J52" s="160">
        <v>0</v>
      </c>
      <c r="K52" s="35"/>
      <c r="L52" s="36"/>
      <c r="M52" s="75"/>
      <c r="N52" s="76"/>
      <c r="O52" s="77"/>
      <c r="P52" s="50"/>
      <c r="Q52" s="32"/>
      <c r="R52" s="32"/>
      <c r="S52" s="59"/>
      <c r="U52" s="51"/>
    </row>
    <row r="53" spans="2:21" ht="16">
      <c r="B53" s="122">
        <v>46935</v>
      </c>
      <c r="C53" s="122">
        <v>46965</v>
      </c>
      <c r="D53" s="84">
        <v>66823.165493446591</v>
      </c>
      <c r="E53" s="84">
        <v>0</v>
      </c>
      <c r="F53" s="84">
        <v>0</v>
      </c>
      <c r="G53" s="84">
        <v>0</v>
      </c>
      <c r="H53" s="85">
        <v>31</v>
      </c>
      <c r="I53" s="86">
        <v>302.80387970186115</v>
      </c>
      <c r="J53" s="160">
        <v>0</v>
      </c>
      <c r="K53" s="35"/>
      <c r="L53" s="36"/>
      <c r="M53" s="75"/>
      <c r="N53" s="76"/>
      <c r="O53" s="77"/>
      <c r="P53" s="50"/>
      <c r="Q53" s="32"/>
      <c r="R53" s="32"/>
      <c r="S53" s="59"/>
      <c r="U53" s="51"/>
    </row>
    <row r="54" spans="2:21" ht="16">
      <c r="B54" s="122">
        <v>46966</v>
      </c>
      <c r="C54" s="122">
        <v>46996</v>
      </c>
      <c r="D54" s="84">
        <v>67125.969373148459</v>
      </c>
      <c r="E54" s="84">
        <v>0</v>
      </c>
      <c r="F54" s="84">
        <v>0</v>
      </c>
      <c r="G54" s="84">
        <v>0</v>
      </c>
      <c r="H54" s="85">
        <v>31</v>
      </c>
      <c r="I54" s="86">
        <v>304.17601149007305</v>
      </c>
      <c r="J54" s="160">
        <v>0</v>
      </c>
      <c r="K54" s="35"/>
      <c r="L54" s="36"/>
      <c r="M54" s="75"/>
      <c r="N54" s="76"/>
      <c r="O54" s="77"/>
      <c r="P54" s="50"/>
      <c r="Q54" s="32"/>
      <c r="R54" s="32"/>
      <c r="S54" s="59"/>
      <c r="U54" s="51"/>
    </row>
    <row r="55" spans="2:21" ht="16">
      <c r="B55" s="122">
        <v>46997</v>
      </c>
      <c r="C55" s="122">
        <v>47026</v>
      </c>
      <c r="D55" s="84">
        <v>67430.145384638527</v>
      </c>
      <c r="E55" s="84">
        <v>0</v>
      </c>
      <c r="F55" s="84">
        <v>0</v>
      </c>
      <c r="G55" s="84">
        <v>0</v>
      </c>
      <c r="H55" s="85">
        <v>30</v>
      </c>
      <c r="I55" s="86">
        <v>295.69776869493131</v>
      </c>
      <c r="J55" s="160">
        <v>0</v>
      </c>
      <c r="K55" s="35"/>
      <c r="L55" s="36"/>
      <c r="M55" s="75"/>
      <c r="N55" s="76"/>
      <c r="O55" s="77"/>
      <c r="P55" s="50"/>
      <c r="Q55" s="32"/>
      <c r="R55" s="32"/>
      <c r="S55" s="59"/>
      <c r="U55" s="51"/>
    </row>
    <row r="56" spans="2:21" ht="16">
      <c r="B56" s="122">
        <v>47027</v>
      </c>
      <c r="C56" s="122">
        <v>47057</v>
      </c>
      <c r="D56" s="84">
        <v>67725.843153333451</v>
      </c>
      <c r="E56" s="84">
        <v>0</v>
      </c>
      <c r="F56" s="84">
        <v>0</v>
      </c>
      <c r="G56" s="84">
        <v>0</v>
      </c>
      <c r="H56" s="85">
        <v>31</v>
      </c>
      <c r="I56" s="86">
        <v>306.89429199399876</v>
      </c>
      <c r="J56" s="160">
        <v>0</v>
      </c>
      <c r="K56" s="35"/>
      <c r="L56" s="36"/>
      <c r="M56" s="75"/>
      <c r="N56" s="76"/>
      <c r="O56" s="77"/>
      <c r="P56" s="50"/>
      <c r="Q56" s="32"/>
      <c r="R56" s="32"/>
      <c r="S56" s="59"/>
      <c r="U56" s="51"/>
    </row>
    <row r="57" spans="2:21" ht="16">
      <c r="B57" s="122">
        <v>47058</v>
      </c>
      <c r="C57" s="122">
        <v>47087</v>
      </c>
      <c r="D57" s="84">
        <v>68032.737445327453</v>
      </c>
      <c r="E57" s="84">
        <v>0</v>
      </c>
      <c r="F57" s="84">
        <v>0</v>
      </c>
      <c r="G57" s="84">
        <v>0</v>
      </c>
      <c r="H57" s="85">
        <v>30</v>
      </c>
      <c r="I57" s="86">
        <v>298.3402830594278</v>
      </c>
      <c r="J57" s="160">
        <v>0</v>
      </c>
      <c r="K57" s="35"/>
      <c r="L57" s="36"/>
      <c r="M57" s="75"/>
      <c r="N57" s="76"/>
      <c r="O57" s="77"/>
      <c r="P57" s="50"/>
      <c r="Q57" s="32"/>
      <c r="R57" s="32"/>
      <c r="S57" s="59"/>
      <c r="U57" s="51"/>
    </row>
    <row r="58" spans="2:21" ht="16">
      <c r="B58" s="122">
        <v>47088</v>
      </c>
      <c r="C58" s="122">
        <v>47102</v>
      </c>
      <c r="D58" s="84">
        <v>68331.077728386881</v>
      </c>
      <c r="E58" s="84">
        <v>21637.98</v>
      </c>
      <c r="F58" s="84">
        <v>3560.4720176684095</v>
      </c>
      <c r="G58" s="84">
        <v>25198.452017668409</v>
      </c>
      <c r="H58" s="85">
        <v>15</v>
      </c>
      <c r="I58" s="86">
        <v>149.82428928150406</v>
      </c>
      <c r="J58" s="160">
        <v>0.33329999999999999</v>
      </c>
      <c r="K58" s="35"/>
      <c r="L58" s="36"/>
      <c r="M58" s="75"/>
      <c r="N58" s="76"/>
      <c r="O58" s="77"/>
      <c r="P58" s="50"/>
      <c r="Q58" s="32"/>
      <c r="R58" s="32"/>
      <c r="S58" s="59"/>
      <c r="U58" s="51"/>
    </row>
    <row r="59" spans="2:21" ht="16">
      <c r="B59" s="122">
        <v>47103</v>
      </c>
      <c r="C59" s="122">
        <v>47118</v>
      </c>
      <c r="D59" s="84">
        <v>43282.449999999975</v>
      </c>
      <c r="E59" s="84">
        <v>0</v>
      </c>
      <c r="F59" s="84">
        <v>0</v>
      </c>
      <c r="G59" s="84">
        <v>0</v>
      </c>
      <c r="H59" s="85">
        <v>16</v>
      </c>
      <c r="I59" s="86">
        <v>101.22889945355188</v>
      </c>
      <c r="J59" s="160">
        <v>0</v>
      </c>
      <c r="K59" s="35"/>
      <c r="L59" s="36"/>
      <c r="M59" s="75"/>
      <c r="N59" s="76"/>
      <c r="O59" s="77"/>
      <c r="P59" s="50"/>
      <c r="Q59" s="32"/>
      <c r="R59" s="32"/>
      <c r="S59" s="59"/>
      <c r="U59" s="51"/>
    </row>
    <row r="60" spans="2:21" ht="16">
      <c r="B60" s="122">
        <v>47119</v>
      </c>
      <c r="C60" s="122">
        <v>47149</v>
      </c>
      <c r="D60" s="84">
        <v>43383.678899453531</v>
      </c>
      <c r="E60" s="84">
        <v>0</v>
      </c>
      <c r="F60" s="84">
        <v>0</v>
      </c>
      <c r="G60" s="84">
        <v>0</v>
      </c>
      <c r="H60" s="85">
        <v>31</v>
      </c>
      <c r="I60" s="86">
        <v>197.12830535546217</v>
      </c>
      <c r="J60" s="160">
        <v>0</v>
      </c>
      <c r="K60" s="35"/>
      <c r="L60" s="36"/>
      <c r="M60" s="75"/>
      <c r="N60" s="76"/>
      <c r="O60" s="77"/>
      <c r="P60" s="50"/>
      <c r="Q60" s="32"/>
      <c r="R60" s="32"/>
      <c r="S60" s="59"/>
      <c r="U60" s="51"/>
    </row>
    <row r="61" spans="2:21" ht="16">
      <c r="B61" s="122">
        <v>47150</v>
      </c>
      <c r="C61" s="122">
        <v>47177</v>
      </c>
      <c r="D61" s="84">
        <v>43580.807204808996</v>
      </c>
      <c r="E61" s="84">
        <v>0</v>
      </c>
      <c r="F61" s="84">
        <v>0</v>
      </c>
      <c r="G61" s="84">
        <v>0</v>
      </c>
      <c r="H61" s="85">
        <v>28</v>
      </c>
      <c r="I61" s="86">
        <v>178.86040874740792</v>
      </c>
      <c r="J61" s="160">
        <v>0</v>
      </c>
      <c r="K61" s="35"/>
      <c r="L61" s="36"/>
      <c r="M61" s="75"/>
      <c r="N61" s="76"/>
      <c r="O61" s="77"/>
      <c r="P61" s="50"/>
      <c r="Q61" s="32"/>
      <c r="R61" s="32"/>
      <c r="S61" s="59"/>
      <c r="U61" s="51"/>
    </row>
    <row r="62" spans="2:21" ht="16">
      <c r="B62" s="122">
        <v>47178</v>
      </c>
      <c r="C62" s="122">
        <v>47208</v>
      </c>
      <c r="D62" s="84">
        <v>43759.667613556405</v>
      </c>
      <c r="E62" s="84">
        <v>0</v>
      </c>
      <c r="F62" s="84">
        <v>0</v>
      </c>
      <c r="G62" s="84">
        <v>0</v>
      </c>
      <c r="H62" s="85">
        <v>31</v>
      </c>
      <c r="I62" s="86">
        <v>198.83673626598167</v>
      </c>
      <c r="J62" s="160">
        <v>0</v>
      </c>
      <c r="K62" s="35"/>
      <c r="L62" s="36"/>
      <c r="M62" s="75"/>
      <c r="N62" s="76"/>
      <c r="O62" s="77"/>
      <c r="P62" s="50"/>
      <c r="Q62" s="32"/>
      <c r="R62" s="32"/>
      <c r="S62" s="59"/>
      <c r="U62" s="51"/>
    </row>
    <row r="63" spans="2:21" ht="16">
      <c r="B63" s="122">
        <v>47209</v>
      </c>
      <c r="C63" s="122">
        <v>47238</v>
      </c>
      <c r="D63" s="84">
        <v>43958.504349822389</v>
      </c>
      <c r="E63" s="84">
        <v>0</v>
      </c>
      <c r="F63" s="84">
        <v>0</v>
      </c>
      <c r="G63" s="84">
        <v>0</v>
      </c>
      <c r="H63" s="85">
        <v>30</v>
      </c>
      <c r="I63" s="86">
        <v>193.29698488072586</v>
      </c>
      <c r="J63" s="160">
        <v>0</v>
      </c>
      <c r="K63" s="35"/>
      <c r="L63" s="36"/>
      <c r="M63" s="75"/>
      <c r="N63" s="76"/>
      <c r="O63" s="77"/>
      <c r="P63" s="50"/>
      <c r="Q63" s="32"/>
      <c r="R63" s="32"/>
      <c r="S63" s="59"/>
      <c r="U63" s="51"/>
    </row>
    <row r="64" spans="2:21" ht="16">
      <c r="B64" s="122">
        <v>47239</v>
      </c>
      <c r="C64" s="122">
        <v>47269</v>
      </c>
      <c r="D64" s="84">
        <v>44151.801334703116</v>
      </c>
      <c r="E64" s="84">
        <v>0</v>
      </c>
      <c r="F64" s="84">
        <v>0</v>
      </c>
      <c r="G64" s="84">
        <v>0</v>
      </c>
      <c r="H64" s="85">
        <v>31</v>
      </c>
      <c r="I64" s="86">
        <v>200.6185274345346</v>
      </c>
      <c r="J64" s="160">
        <v>0</v>
      </c>
      <c r="K64" s="35"/>
      <c r="L64" s="36"/>
      <c r="M64" s="75"/>
      <c r="N64" s="76"/>
      <c r="O64" s="77"/>
      <c r="P64" s="50"/>
      <c r="Q64" s="32"/>
      <c r="R64" s="32"/>
      <c r="S64" s="59"/>
      <c r="U64" s="51"/>
    </row>
    <row r="65" spans="2:21" ht="16">
      <c r="B65" s="122">
        <v>47270</v>
      </c>
      <c r="C65" s="122">
        <v>47284</v>
      </c>
      <c r="D65" s="84">
        <v>44352.419862137649</v>
      </c>
      <c r="E65" s="84">
        <v>0</v>
      </c>
      <c r="F65" s="84">
        <v>0</v>
      </c>
      <c r="G65" s="84">
        <v>0</v>
      </c>
      <c r="H65" s="85">
        <v>15</v>
      </c>
      <c r="I65" s="86">
        <v>97.514566957165684</v>
      </c>
      <c r="J65" s="160">
        <v>0</v>
      </c>
      <c r="K65" s="35"/>
      <c r="L65" s="36"/>
      <c r="M65" s="75"/>
      <c r="N65" s="76"/>
      <c r="O65" s="77"/>
      <c r="P65" s="50"/>
      <c r="Q65" s="32"/>
      <c r="R65" s="32"/>
      <c r="S65" s="59"/>
      <c r="U65" s="51"/>
    </row>
    <row r="66" spans="2:21" ht="16">
      <c r="B66" s="122">
        <v>47285</v>
      </c>
      <c r="C66" s="122">
        <v>47299</v>
      </c>
      <c r="D66" s="84">
        <v>44352.419862137649</v>
      </c>
      <c r="E66" s="84">
        <v>0</v>
      </c>
      <c r="F66" s="84">
        <v>0</v>
      </c>
      <c r="G66" s="84">
        <v>0</v>
      </c>
      <c r="H66" s="85">
        <v>15</v>
      </c>
      <c r="I66" s="86">
        <v>97.514566957165684</v>
      </c>
      <c r="J66" s="160">
        <v>0</v>
      </c>
      <c r="K66" s="35"/>
      <c r="L66" s="36"/>
      <c r="M66" s="75"/>
      <c r="N66" s="76"/>
      <c r="O66" s="77"/>
      <c r="P66" s="50"/>
      <c r="Q66" s="32"/>
      <c r="R66" s="32"/>
      <c r="S66" s="59"/>
      <c r="U66" s="51"/>
    </row>
    <row r="67" spans="2:21" ht="16">
      <c r="B67" s="122">
        <v>47300</v>
      </c>
      <c r="C67" s="122">
        <v>47330</v>
      </c>
      <c r="D67" s="84">
        <v>44547.448996051979</v>
      </c>
      <c r="E67" s="84">
        <v>0</v>
      </c>
      <c r="F67" s="84">
        <v>0</v>
      </c>
      <c r="G67" s="84">
        <v>0</v>
      </c>
      <c r="H67" s="85">
        <v>31</v>
      </c>
      <c r="I67" s="86">
        <v>202.41628536973209</v>
      </c>
      <c r="J67" s="160">
        <v>0</v>
      </c>
      <c r="K67" s="35"/>
      <c r="L67" s="36"/>
      <c r="M67" s="75"/>
      <c r="N67" s="76"/>
      <c r="O67" s="77"/>
      <c r="P67" s="50"/>
      <c r="Q67" s="32"/>
      <c r="R67" s="32"/>
      <c r="S67" s="59"/>
      <c r="U67" s="51"/>
    </row>
    <row r="68" spans="2:21" ht="16">
      <c r="B68" s="122">
        <v>47331</v>
      </c>
      <c r="C68" s="122">
        <v>47361</v>
      </c>
      <c r="D68" s="84">
        <v>44749.865281421713</v>
      </c>
      <c r="E68" s="84">
        <v>0</v>
      </c>
      <c r="F68" s="84">
        <v>0</v>
      </c>
      <c r="G68" s="84">
        <v>0</v>
      </c>
      <c r="H68" s="85">
        <v>31</v>
      </c>
      <c r="I68" s="86">
        <v>203.33603169654228</v>
      </c>
      <c r="J68" s="160">
        <v>0</v>
      </c>
      <c r="K68" s="35"/>
      <c r="L68" s="36"/>
      <c r="M68" s="75"/>
      <c r="N68" s="76"/>
      <c r="O68" s="77"/>
      <c r="P68" s="50"/>
      <c r="Q68" s="32"/>
      <c r="R68" s="32"/>
      <c r="S68" s="59"/>
      <c r="U68" s="51"/>
    </row>
    <row r="69" spans="2:21" ht="16">
      <c r="B69" s="122">
        <v>47362</v>
      </c>
      <c r="C69" s="122">
        <v>47391</v>
      </c>
      <c r="D69" s="84">
        <v>44953.201313118254</v>
      </c>
      <c r="E69" s="84">
        <v>0</v>
      </c>
      <c r="F69" s="84">
        <v>0</v>
      </c>
      <c r="G69" s="84">
        <v>0</v>
      </c>
      <c r="H69" s="85">
        <v>30</v>
      </c>
      <c r="I69" s="86">
        <v>197.67092632206797</v>
      </c>
      <c r="J69" s="160">
        <v>0</v>
      </c>
      <c r="K69" s="35"/>
      <c r="L69" s="36"/>
      <c r="M69" s="75"/>
      <c r="N69" s="76"/>
      <c r="O69" s="77"/>
      <c r="P69" s="50"/>
      <c r="Q69" s="32"/>
      <c r="R69" s="32"/>
      <c r="S69" s="59"/>
      <c r="U69" s="51"/>
    </row>
    <row r="70" spans="2:21" ht="16">
      <c r="B70" s="122">
        <v>47392</v>
      </c>
      <c r="C70" s="122">
        <v>47422</v>
      </c>
      <c r="D70" s="84">
        <v>45150.872239440323</v>
      </c>
      <c r="E70" s="84">
        <v>0</v>
      </c>
      <c r="F70" s="84">
        <v>0</v>
      </c>
      <c r="G70" s="84">
        <v>0</v>
      </c>
      <c r="H70" s="85">
        <v>31</v>
      </c>
      <c r="I70" s="86">
        <v>205.15814139482683</v>
      </c>
      <c r="J70" s="160">
        <v>0</v>
      </c>
      <c r="K70" s="35"/>
      <c r="L70" s="36"/>
      <c r="M70" s="75"/>
      <c r="N70" s="76"/>
      <c r="O70" s="77"/>
      <c r="P70" s="50"/>
      <c r="Q70" s="32"/>
      <c r="R70" s="32"/>
      <c r="S70" s="59"/>
      <c r="U70" s="51"/>
    </row>
    <row r="71" spans="2:21" ht="16">
      <c r="B71" s="122">
        <v>47423</v>
      </c>
      <c r="C71" s="122">
        <v>47452</v>
      </c>
      <c r="D71" s="84">
        <v>45356.030380835153</v>
      </c>
      <c r="E71" s="84">
        <v>0</v>
      </c>
      <c r="F71" s="84">
        <v>0</v>
      </c>
      <c r="G71" s="84">
        <v>0</v>
      </c>
      <c r="H71" s="85">
        <v>30</v>
      </c>
      <c r="I71" s="86">
        <v>199.4422705787409</v>
      </c>
      <c r="J71" s="160">
        <v>0</v>
      </c>
      <c r="K71" s="35"/>
      <c r="L71" s="36"/>
      <c r="M71" s="75"/>
      <c r="N71" s="76"/>
      <c r="O71" s="77"/>
      <c r="P71" s="50"/>
      <c r="Q71" s="32"/>
      <c r="R71" s="32"/>
      <c r="S71" s="59"/>
      <c r="U71" s="51"/>
    </row>
    <row r="72" spans="2:21" ht="16">
      <c r="B72" s="122">
        <v>47453</v>
      </c>
      <c r="C72" s="122">
        <v>47467</v>
      </c>
      <c r="D72" s="84">
        <v>45555.472651413897</v>
      </c>
      <c r="E72" s="84">
        <v>21641.23</v>
      </c>
      <c r="F72" s="84">
        <v>2373.1822864899586</v>
      </c>
      <c r="G72" s="84">
        <v>24014.412286489958</v>
      </c>
      <c r="H72" s="85">
        <v>15</v>
      </c>
      <c r="I72" s="86">
        <v>100.15963507605386</v>
      </c>
      <c r="J72" s="160">
        <v>0.5</v>
      </c>
      <c r="K72" s="35"/>
      <c r="L72" s="36"/>
      <c r="M72" s="75"/>
      <c r="N72" s="76"/>
      <c r="O72" s="77"/>
      <c r="P72" s="50"/>
      <c r="Q72" s="32"/>
      <c r="R72" s="32"/>
      <c r="U72" s="51"/>
    </row>
    <row r="73" spans="2:21" ht="16">
      <c r="B73" s="122">
        <v>47468</v>
      </c>
      <c r="C73" s="122">
        <v>47483</v>
      </c>
      <c r="D73" s="84">
        <v>21641.219999999994</v>
      </c>
      <c r="E73" s="84">
        <v>0</v>
      </c>
      <c r="F73" s="84">
        <v>0</v>
      </c>
      <c r="G73" s="84">
        <v>0</v>
      </c>
      <c r="H73" s="85">
        <v>16</v>
      </c>
      <c r="I73" s="86">
        <v>50.753107726027395</v>
      </c>
      <c r="J73" s="160">
        <v>0</v>
      </c>
      <c r="K73" s="35"/>
      <c r="L73" s="36"/>
      <c r="M73" s="75"/>
      <c r="N73" s="76"/>
      <c r="O73" s="77"/>
      <c r="P73" s="50"/>
      <c r="Q73" s="32"/>
      <c r="R73" s="32"/>
      <c r="U73" s="51"/>
    </row>
    <row r="74" spans="2:21" ht="16">
      <c r="B74" s="122">
        <v>47484</v>
      </c>
      <c r="C74" s="122">
        <v>47514</v>
      </c>
      <c r="D74" s="84">
        <v>21691.973107726018</v>
      </c>
      <c r="E74" s="84">
        <v>0</v>
      </c>
      <c r="F74" s="84">
        <v>0</v>
      </c>
      <c r="G74" s="84">
        <v>0</v>
      </c>
      <c r="H74" s="85">
        <v>31</v>
      </c>
      <c r="I74" s="86">
        <v>98.564759997708521</v>
      </c>
      <c r="J74" s="160">
        <v>0</v>
      </c>
      <c r="K74" s="35"/>
      <c r="L74" s="36"/>
      <c r="M74" s="75"/>
      <c r="N74" s="76"/>
      <c r="O74" s="77"/>
      <c r="P74" s="50"/>
      <c r="Q74" s="32"/>
      <c r="R74" s="32"/>
      <c r="U74" s="51"/>
    </row>
    <row r="75" spans="2:21" ht="16">
      <c r="B75" s="122">
        <v>47515</v>
      </c>
      <c r="C75" s="122">
        <v>47542</v>
      </c>
      <c r="D75" s="84">
        <v>21790.537867723728</v>
      </c>
      <c r="E75" s="84">
        <v>0</v>
      </c>
      <c r="F75" s="84">
        <v>0</v>
      </c>
      <c r="G75" s="84">
        <v>0</v>
      </c>
      <c r="H75" s="85">
        <v>28</v>
      </c>
      <c r="I75" s="86">
        <v>89.430755413288082</v>
      </c>
      <c r="J75" s="160">
        <v>0</v>
      </c>
      <c r="K75" s="35"/>
      <c r="L75" s="36"/>
      <c r="M75" s="75"/>
      <c r="N75" s="76"/>
      <c r="O75" s="77"/>
      <c r="P75" s="50"/>
      <c r="Q75" s="32"/>
      <c r="R75" s="32"/>
      <c r="U75" s="51"/>
    </row>
    <row r="76" spans="2:21" ht="16">
      <c r="B76" s="122">
        <v>47543</v>
      </c>
      <c r="C76" s="122">
        <v>47573</v>
      </c>
      <c r="D76" s="84">
        <v>21879.968623137014</v>
      </c>
      <c r="E76" s="84">
        <v>0</v>
      </c>
      <c r="F76" s="84">
        <v>0</v>
      </c>
      <c r="G76" s="84">
        <v>0</v>
      </c>
      <c r="H76" s="85">
        <v>31</v>
      </c>
      <c r="I76" s="86">
        <v>99.418980716363677</v>
      </c>
      <c r="J76" s="160">
        <v>0</v>
      </c>
      <c r="K76" s="35"/>
      <c r="L76" s="36"/>
      <c r="M76" s="75"/>
      <c r="N76" s="76"/>
      <c r="O76" s="77"/>
      <c r="P76" s="50"/>
      <c r="Q76" s="32"/>
      <c r="R76" s="32"/>
      <c r="U76" s="51"/>
    </row>
    <row r="77" spans="2:21" ht="16">
      <c r="B77" s="122">
        <v>47574</v>
      </c>
      <c r="C77" s="122">
        <v>47603</v>
      </c>
      <c r="D77" s="84">
        <v>21979.387603853378</v>
      </c>
      <c r="E77" s="84">
        <v>0</v>
      </c>
      <c r="F77" s="84">
        <v>0</v>
      </c>
      <c r="G77" s="84">
        <v>0</v>
      </c>
      <c r="H77" s="85">
        <v>30</v>
      </c>
      <c r="I77" s="86">
        <v>96.649087956670357</v>
      </c>
      <c r="J77" s="160">
        <v>0</v>
      </c>
      <c r="K77" s="35"/>
      <c r="L77" s="36"/>
      <c r="M77" s="75"/>
      <c r="N77" s="76"/>
      <c r="O77" s="77"/>
      <c r="P77" s="50"/>
      <c r="Q77" s="32"/>
      <c r="R77" s="32"/>
    </row>
    <row r="78" spans="2:21" ht="16">
      <c r="B78" s="122">
        <v>47604</v>
      </c>
      <c r="C78" s="122">
        <v>47634</v>
      </c>
      <c r="D78" s="84">
        <v>22076.036691810048</v>
      </c>
      <c r="E78" s="84">
        <v>0</v>
      </c>
      <c r="F78" s="84">
        <v>0</v>
      </c>
      <c r="G78" s="84">
        <v>0</v>
      </c>
      <c r="H78" s="85">
        <v>31</v>
      </c>
      <c r="I78" s="86">
        <v>100.30988179004649</v>
      </c>
      <c r="J78" s="160">
        <v>0</v>
      </c>
      <c r="K78" s="35"/>
      <c r="L78" s="36"/>
      <c r="M78" s="75"/>
      <c r="N78" s="76"/>
      <c r="O78" s="77"/>
      <c r="P78" s="50"/>
      <c r="Q78" s="32"/>
      <c r="R78" s="32"/>
    </row>
    <row r="79" spans="2:21" ht="16">
      <c r="B79" s="122">
        <v>47635</v>
      </c>
      <c r="C79" s="122">
        <v>47649</v>
      </c>
      <c r="D79" s="84">
        <v>22176.346573600094</v>
      </c>
      <c r="E79" s="84">
        <v>0</v>
      </c>
      <c r="F79" s="84">
        <v>0</v>
      </c>
      <c r="G79" s="84">
        <v>0</v>
      </c>
      <c r="H79" s="85">
        <v>15</v>
      </c>
      <c r="I79" s="86">
        <v>48.757583904970076</v>
      </c>
      <c r="J79" s="160">
        <v>0</v>
      </c>
      <c r="K79" s="35"/>
      <c r="L79" s="36"/>
      <c r="M79" s="75"/>
      <c r="N79" s="76"/>
      <c r="O79" s="77"/>
      <c r="P79" s="50"/>
      <c r="Q79" s="32"/>
      <c r="R79" s="32"/>
    </row>
    <row r="80" spans="2:21" ht="16">
      <c r="B80" s="122">
        <v>47650</v>
      </c>
      <c r="C80" s="122">
        <v>47664</v>
      </c>
      <c r="D80" s="84">
        <v>22176.346573600094</v>
      </c>
      <c r="E80" s="84">
        <v>0</v>
      </c>
      <c r="F80" s="84">
        <v>0</v>
      </c>
      <c r="G80" s="84">
        <v>0</v>
      </c>
      <c r="H80" s="85">
        <v>15</v>
      </c>
      <c r="I80" s="86">
        <v>48.757583904970076</v>
      </c>
      <c r="J80" s="160">
        <v>0</v>
      </c>
      <c r="K80" s="35"/>
      <c r="L80" s="36"/>
      <c r="M80" s="75"/>
      <c r="N80" s="76"/>
      <c r="O80" s="77"/>
      <c r="P80" s="50"/>
      <c r="Q80" s="32"/>
      <c r="R80" s="32"/>
    </row>
    <row r="81" spans="2:18" ht="16">
      <c r="B81" s="122">
        <v>47665</v>
      </c>
      <c r="C81" s="122">
        <v>47695</v>
      </c>
      <c r="D81" s="84">
        <v>22273.861741410034</v>
      </c>
      <c r="E81" s="84">
        <v>0</v>
      </c>
      <c r="F81" s="84">
        <v>0</v>
      </c>
      <c r="G81" s="84">
        <v>0</v>
      </c>
      <c r="H81" s="85">
        <v>31</v>
      </c>
      <c r="I81" s="86">
        <v>101.20876629624259</v>
      </c>
      <c r="J81" s="160">
        <v>0</v>
      </c>
      <c r="K81" s="35"/>
      <c r="L81" s="36"/>
      <c r="M81" s="75"/>
      <c r="N81" s="76"/>
      <c r="O81" s="77"/>
      <c r="P81" s="50"/>
      <c r="Q81" s="32"/>
      <c r="R81" s="32"/>
    </row>
    <row r="82" spans="2:18" ht="16">
      <c r="B82" s="122">
        <v>47696</v>
      </c>
      <c r="C82" s="122">
        <v>47726</v>
      </c>
      <c r="D82" s="84">
        <v>22375.070507706278</v>
      </c>
      <c r="E82" s="84">
        <v>0</v>
      </c>
      <c r="F82" s="84">
        <v>0</v>
      </c>
      <c r="G82" s="84">
        <v>0</v>
      </c>
      <c r="H82" s="85">
        <v>31</v>
      </c>
      <c r="I82" s="86">
        <v>101.66864229323527</v>
      </c>
      <c r="J82" s="160">
        <v>0</v>
      </c>
      <c r="K82" s="35"/>
      <c r="L82" s="36"/>
      <c r="M82" s="75"/>
      <c r="N82" s="76"/>
      <c r="O82" s="77"/>
      <c r="P82" s="50"/>
      <c r="Q82" s="32"/>
      <c r="R82" s="32"/>
    </row>
    <row r="83" spans="2:18" ht="16">
      <c r="B83" s="122">
        <v>47727</v>
      </c>
      <c r="C83" s="122">
        <v>47756</v>
      </c>
      <c r="D83" s="84">
        <v>22476.739149999514</v>
      </c>
      <c r="E83" s="84">
        <v>0</v>
      </c>
      <c r="F83" s="84">
        <v>0</v>
      </c>
      <c r="G83" s="84">
        <v>0</v>
      </c>
      <c r="H83" s="85">
        <v>30</v>
      </c>
      <c r="I83" s="86">
        <v>98.8360721527376</v>
      </c>
      <c r="J83" s="160">
        <v>0</v>
      </c>
      <c r="K83" s="35"/>
      <c r="L83" s="36"/>
      <c r="M83" s="75"/>
      <c r="N83" s="76"/>
      <c r="O83" s="77"/>
      <c r="P83" s="50"/>
      <c r="Q83" s="32"/>
      <c r="R83" s="32"/>
    </row>
    <row r="84" spans="2:18" ht="16">
      <c r="B84" s="122">
        <v>47757</v>
      </c>
      <c r="C84" s="122">
        <v>47787</v>
      </c>
      <c r="D84" s="84">
        <v>22575.575222152253</v>
      </c>
      <c r="E84" s="84">
        <v>0</v>
      </c>
      <c r="F84" s="84">
        <v>0</v>
      </c>
      <c r="G84" s="84">
        <v>0</v>
      </c>
      <c r="H84" s="85">
        <v>31</v>
      </c>
      <c r="I84" s="86">
        <v>102.57970275599868</v>
      </c>
      <c r="J84" s="160">
        <v>0</v>
      </c>
      <c r="K84" s="35"/>
      <c r="L84" s="36"/>
      <c r="M84" s="75"/>
      <c r="N84" s="76"/>
      <c r="O84" s="77"/>
      <c r="P84" s="50"/>
      <c r="Q84" s="32"/>
      <c r="R84" s="32"/>
    </row>
    <row r="85" spans="2:18" ht="16">
      <c r="B85" s="122">
        <v>47788</v>
      </c>
      <c r="C85" s="122">
        <v>47817</v>
      </c>
      <c r="D85" s="84">
        <v>22678.154924908253</v>
      </c>
      <c r="E85" s="84">
        <v>0</v>
      </c>
      <c r="F85" s="84">
        <v>0</v>
      </c>
      <c r="G85" s="84">
        <v>0</v>
      </c>
      <c r="H85" s="85">
        <v>30</v>
      </c>
      <c r="I85" s="86">
        <v>99.721749738295216</v>
      </c>
      <c r="J85" s="160">
        <v>0</v>
      </c>
      <c r="K85" s="35"/>
      <c r="L85" s="36"/>
      <c r="M85" s="75"/>
      <c r="N85" s="76"/>
      <c r="O85" s="77"/>
      <c r="P85" s="50"/>
      <c r="Q85" s="32"/>
      <c r="R85" s="32"/>
    </row>
    <row r="86" spans="2:18" ht="16">
      <c r="B86" s="122">
        <v>47818</v>
      </c>
      <c r="C86" s="122">
        <v>47832</v>
      </c>
      <c r="D86" s="84">
        <v>22777.876674646548</v>
      </c>
      <c r="E86" s="84">
        <v>21641.22</v>
      </c>
      <c r="F86" s="84">
        <v>1186.736800759998</v>
      </c>
      <c r="G86" s="84">
        <v>22827.956800759999</v>
      </c>
      <c r="H86" s="85">
        <v>15</v>
      </c>
      <c r="I86" s="86">
        <v>50.080126113435227</v>
      </c>
      <c r="J86" s="160">
        <v>1</v>
      </c>
      <c r="K86" s="35"/>
      <c r="L86" s="36"/>
      <c r="M86" s="75"/>
      <c r="N86" s="76"/>
      <c r="O86" s="77"/>
      <c r="P86" s="50"/>
      <c r="Q86" s="32"/>
      <c r="R86" s="32"/>
    </row>
    <row r="87" spans="2:18" ht="16">
      <c r="B87" s="122" t="str">
        <v>Totals</v>
      </c>
      <c r="C87" s="122" t="str">
        <v>-</v>
      </c>
      <c r="D87" s="84">
        <v>0</v>
      </c>
      <c r="E87" s="84">
        <v>108200.72</v>
      </c>
      <c r="F87" s="84">
        <v>17767.11128206849</v>
      </c>
      <c r="G87" s="84">
        <v>125967.8312820685</v>
      </c>
      <c r="H87" s="85">
        <v>1824</v>
      </c>
      <c r="I87" s="92">
        <v>17767.11128206849</v>
      </c>
      <c r="J87" s="160">
        <v>0</v>
      </c>
      <c r="K87" s="35"/>
      <c r="L87" s="36"/>
      <c r="M87" s="75"/>
      <c r="N87" s="76"/>
      <c r="O87" s="77"/>
      <c r="P87" s="50"/>
      <c r="Q87" s="32"/>
      <c r="R87" s="32"/>
    </row>
    <row r="88" spans="2:18" ht="16">
      <c r="B88" s="122"/>
      <c r="C88" s="122"/>
      <c r="D88" s="84"/>
      <c r="E88" s="84"/>
      <c r="F88" s="84"/>
      <c r="G88" s="84"/>
      <c r="H88" s="85"/>
      <c r="I88" s="86"/>
      <c r="J88" s="160"/>
      <c r="K88" s="35"/>
      <c r="L88" s="36"/>
      <c r="M88" s="75"/>
      <c r="N88" s="76"/>
      <c r="O88" s="77"/>
      <c r="P88" s="50"/>
      <c r="Q88" s="32"/>
      <c r="R88" s="50"/>
    </row>
    <row r="89" spans="2:18" ht="16">
      <c r="B89" s="122"/>
      <c r="C89" s="122"/>
      <c r="D89" s="84"/>
      <c r="E89" s="84"/>
      <c r="F89" s="84"/>
      <c r="G89" s="84"/>
      <c r="H89" s="85"/>
      <c r="I89" s="86"/>
      <c r="J89" s="160"/>
      <c r="K89" s="35"/>
      <c r="L89" s="36"/>
      <c r="M89" s="75"/>
      <c r="N89" s="76"/>
      <c r="O89" s="77"/>
      <c r="P89" s="50"/>
      <c r="Q89" s="32"/>
      <c r="R89" s="32"/>
    </row>
    <row r="90" spans="2:18" ht="16">
      <c r="B90" s="122"/>
      <c r="C90" s="122"/>
      <c r="D90" s="84"/>
      <c r="E90" s="84"/>
      <c r="F90" s="84"/>
      <c r="G90" s="84"/>
      <c r="H90" s="85"/>
      <c r="I90" s="86"/>
      <c r="J90" s="160"/>
      <c r="K90" s="35"/>
      <c r="L90" s="36"/>
      <c r="M90" s="75"/>
      <c r="N90" s="76"/>
      <c r="O90" s="77"/>
      <c r="P90" s="50"/>
      <c r="Q90" s="32"/>
      <c r="R90" s="32"/>
    </row>
    <row r="91" spans="2:18" ht="16">
      <c r="B91" s="122"/>
      <c r="C91" s="122"/>
      <c r="D91" s="84"/>
      <c r="E91" s="84"/>
      <c r="F91" s="84"/>
      <c r="G91" s="84"/>
      <c r="H91" s="85"/>
      <c r="I91" s="86"/>
      <c r="J91" s="160"/>
      <c r="K91" s="35"/>
      <c r="L91" s="36"/>
      <c r="M91" s="75"/>
      <c r="N91" s="76"/>
      <c r="O91" s="77"/>
      <c r="P91" s="50"/>
      <c r="Q91" s="32"/>
      <c r="R91" s="32"/>
    </row>
    <row r="92" spans="2:18" ht="16">
      <c r="B92" s="122"/>
      <c r="C92" s="122"/>
      <c r="D92" s="84"/>
      <c r="E92" s="84"/>
      <c r="F92" s="84"/>
      <c r="G92" s="84"/>
      <c r="H92" s="85"/>
      <c r="I92" s="86"/>
      <c r="J92" s="160"/>
      <c r="K92" s="35"/>
      <c r="L92" s="36"/>
      <c r="M92" s="75"/>
      <c r="N92" s="76"/>
      <c r="O92" s="77"/>
      <c r="P92" s="50"/>
      <c r="Q92" s="32"/>
      <c r="R92" s="32"/>
    </row>
    <row r="93" spans="2:18" ht="16">
      <c r="B93" s="122"/>
      <c r="C93" s="122"/>
      <c r="D93" s="84"/>
      <c r="E93" s="84"/>
      <c r="F93" s="84"/>
      <c r="G93" s="84"/>
      <c r="H93" s="85"/>
      <c r="I93" s="86"/>
      <c r="J93" s="160"/>
      <c r="K93" s="35"/>
      <c r="L93" s="36"/>
      <c r="M93" s="75"/>
      <c r="N93" s="76"/>
      <c r="O93" s="77"/>
      <c r="P93" s="50"/>
      <c r="Q93" s="32"/>
      <c r="R93" s="32"/>
    </row>
    <row r="94" spans="2:18" ht="16">
      <c r="B94" s="122"/>
      <c r="C94" s="122"/>
      <c r="D94" s="84"/>
      <c r="E94" s="84"/>
      <c r="F94" s="84"/>
      <c r="G94" s="84"/>
      <c r="H94" s="85"/>
      <c r="I94" s="86"/>
      <c r="J94" s="160"/>
      <c r="K94" s="35"/>
      <c r="L94" s="36"/>
      <c r="M94" s="75"/>
      <c r="N94" s="76"/>
      <c r="O94" s="77"/>
      <c r="P94" s="50"/>
      <c r="Q94" s="32"/>
      <c r="R94" s="32"/>
    </row>
    <row r="95" spans="2:18" ht="16">
      <c r="B95" s="122"/>
      <c r="C95" s="122"/>
      <c r="D95" s="84"/>
      <c r="E95" s="84"/>
      <c r="F95" s="84"/>
      <c r="G95" s="84"/>
      <c r="H95" s="85"/>
      <c r="I95" s="86"/>
      <c r="J95" s="160"/>
      <c r="K95" s="35"/>
      <c r="L95" s="36"/>
      <c r="M95" s="75"/>
      <c r="N95" s="76"/>
      <c r="O95" s="77"/>
      <c r="P95" s="50"/>
      <c r="Q95" s="32"/>
      <c r="R95" s="32"/>
    </row>
    <row r="96" spans="2:18" ht="16">
      <c r="B96" s="122"/>
      <c r="C96" s="122"/>
      <c r="D96" s="84"/>
      <c r="E96" s="84"/>
      <c r="F96" s="84"/>
      <c r="G96" s="84"/>
      <c r="H96" s="85"/>
      <c r="I96" s="86"/>
      <c r="J96" s="160"/>
      <c r="K96" s="35"/>
      <c r="L96" s="36"/>
      <c r="M96" s="75"/>
      <c r="N96" s="76"/>
      <c r="O96" s="77"/>
      <c r="P96" s="50"/>
      <c r="Q96" s="32"/>
      <c r="R96" s="32"/>
    </row>
    <row r="97" spans="2:18" ht="16">
      <c r="B97" s="122"/>
      <c r="C97" s="122"/>
      <c r="D97" s="84"/>
      <c r="E97" s="84"/>
      <c r="F97" s="84"/>
      <c r="G97" s="84"/>
      <c r="H97" s="85"/>
      <c r="I97" s="86"/>
      <c r="J97" s="160"/>
      <c r="K97" s="35"/>
      <c r="L97" s="36"/>
      <c r="M97" s="75"/>
      <c r="N97" s="76"/>
      <c r="O97" s="77"/>
      <c r="P97" s="50"/>
      <c r="Q97" s="32"/>
      <c r="R97" s="32"/>
    </row>
    <row r="98" spans="2:18" s="57" customFormat="1" ht="16">
      <c r="B98" s="122"/>
      <c r="C98" s="122"/>
      <c r="D98" s="84"/>
      <c r="E98" s="84"/>
      <c r="F98" s="84"/>
      <c r="G98" s="84"/>
      <c r="H98" s="85"/>
      <c r="I98" s="86"/>
      <c r="J98" s="160"/>
      <c r="K98" s="35"/>
      <c r="L98" s="36"/>
      <c r="M98" s="75"/>
      <c r="N98" s="76"/>
      <c r="O98" s="77"/>
      <c r="P98" s="50"/>
      <c r="Q98" s="32"/>
      <c r="R98" s="32"/>
    </row>
    <row r="99" spans="2:18" s="57" customFormat="1" ht="16">
      <c r="B99" s="122"/>
      <c r="C99" s="122"/>
      <c r="D99" s="84"/>
      <c r="E99" s="84"/>
      <c r="F99" s="84"/>
      <c r="G99" s="84"/>
      <c r="H99" s="85"/>
      <c r="I99" s="86"/>
      <c r="J99" s="160"/>
      <c r="K99" s="35"/>
      <c r="L99" s="36"/>
      <c r="M99" s="75"/>
      <c r="N99" s="76"/>
      <c r="O99" s="77"/>
      <c r="P99" s="50"/>
      <c r="Q99" s="32"/>
      <c r="R99" s="32"/>
    </row>
    <row r="100" spans="2:18" s="57" customFormat="1" ht="16">
      <c r="B100" s="122"/>
      <c r="C100" s="122"/>
      <c r="D100" s="84"/>
      <c r="E100" s="84"/>
      <c r="F100" s="84"/>
      <c r="G100" s="84"/>
      <c r="H100" s="85"/>
      <c r="I100" s="86"/>
      <c r="J100" s="160"/>
      <c r="K100" s="35"/>
      <c r="L100" s="36"/>
      <c r="M100" s="75"/>
      <c r="N100" s="76"/>
      <c r="O100" s="77"/>
      <c r="P100" s="50"/>
      <c r="Q100" s="32"/>
      <c r="R100" s="32"/>
    </row>
    <row r="101" spans="2:18" s="57" customFormat="1" ht="16">
      <c r="B101" s="122"/>
      <c r="C101" s="122"/>
      <c r="D101" s="84"/>
      <c r="E101" s="84"/>
      <c r="F101" s="84"/>
      <c r="G101" s="84"/>
      <c r="H101" s="85"/>
      <c r="I101" s="86"/>
      <c r="J101" s="160"/>
      <c r="K101" s="35"/>
      <c r="L101" s="36"/>
      <c r="M101" s="75"/>
      <c r="N101" s="76"/>
      <c r="O101" s="77"/>
      <c r="P101" s="50"/>
      <c r="Q101" s="32"/>
      <c r="R101" s="32"/>
    </row>
    <row r="102" spans="2:18" s="57" customFormat="1">
      <c r="B102" s="124"/>
      <c r="C102" s="124"/>
      <c r="D102" s="79"/>
      <c r="E102" s="80"/>
      <c r="F102" s="80"/>
      <c r="G102" s="80"/>
      <c r="H102" s="81"/>
      <c r="I102" s="80"/>
      <c r="J102" s="161"/>
      <c r="K102" s="35"/>
      <c r="L102" s="32"/>
      <c r="M102" s="32"/>
      <c r="N102" s="32"/>
      <c r="O102" s="32"/>
      <c r="P102" s="32"/>
      <c r="Q102" s="32"/>
      <c r="R102" s="32"/>
    </row>
    <row r="103" spans="2:18">
      <c r="B103" s="125"/>
      <c r="C103" s="125"/>
      <c r="E103" s="62"/>
      <c r="F103" s="62"/>
      <c r="G103" s="62"/>
      <c r="H103" s="82"/>
      <c r="J103" s="162"/>
    </row>
    <row r="104" spans="2:18">
      <c r="B104" s="125"/>
      <c r="C104" s="125"/>
      <c r="E104" s="62"/>
      <c r="F104" s="62"/>
      <c r="G104" s="62"/>
      <c r="H104" s="82"/>
      <c r="J104" s="162"/>
    </row>
    <row r="105" spans="2:18">
      <c r="B105" s="125"/>
      <c r="C105" s="125"/>
      <c r="E105" s="62"/>
      <c r="F105" s="62"/>
      <c r="G105" s="62"/>
      <c r="J105" s="162"/>
    </row>
    <row r="106" spans="2:18">
      <c r="B106" s="125"/>
      <c r="C106" s="125"/>
      <c r="E106" s="62"/>
      <c r="F106" s="62"/>
      <c r="G106" s="62"/>
      <c r="J106" s="162"/>
    </row>
    <row r="107" spans="2:18">
      <c r="B107" s="125"/>
      <c r="C107" s="125"/>
      <c r="E107" s="62"/>
      <c r="F107" s="62"/>
      <c r="G107" s="62"/>
      <c r="J107" s="162"/>
    </row>
    <row r="108" spans="2:18">
      <c r="B108" s="125"/>
      <c r="C108" s="125"/>
      <c r="E108" s="62"/>
      <c r="F108" s="62"/>
      <c r="G108" s="62"/>
      <c r="J108" s="162"/>
    </row>
    <row r="109" spans="2:18">
      <c r="B109" s="125"/>
      <c r="C109" s="125"/>
      <c r="E109" s="62"/>
      <c r="F109" s="62"/>
      <c r="G109" s="62"/>
      <c r="J109" s="162"/>
    </row>
    <row r="110" spans="2:18">
      <c r="B110" s="125"/>
      <c r="C110" s="125"/>
      <c r="E110" s="62"/>
      <c r="F110" s="62"/>
      <c r="G110" s="62"/>
      <c r="J110" s="162"/>
    </row>
    <row r="111" spans="2:18">
      <c r="B111" s="125"/>
      <c r="C111" s="125"/>
      <c r="E111" s="62"/>
      <c r="F111" s="62"/>
      <c r="G111" s="62"/>
      <c r="J111" s="162"/>
    </row>
    <row r="112" spans="2:18">
      <c r="B112" s="125"/>
      <c r="C112" s="125"/>
      <c r="E112" s="62"/>
      <c r="F112" s="62"/>
      <c r="G112" s="62"/>
      <c r="J112" s="162"/>
    </row>
    <row r="113" spans="2:10">
      <c r="B113" s="125"/>
      <c r="C113" s="125"/>
      <c r="E113" s="62"/>
      <c r="F113" s="62"/>
      <c r="G113" s="62"/>
      <c r="J113" s="162"/>
    </row>
    <row r="114" spans="2:10">
      <c r="B114" s="125"/>
      <c r="C114" s="125"/>
      <c r="E114" s="62"/>
      <c r="F114" s="62"/>
      <c r="G114" s="62"/>
      <c r="J114" s="162"/>
    </row>
    <row r="115" spans="2:10">
      <c r="B115" s="125"/>
      <c r="C115" s="125"/>
      <c r="E115" s="62"/>
      <c r="F115" s="62"/>
      <c r="G115" s="62"/>
      <c r="J115" s="162"/>
    </row>
    <row r="116" spans="2:10">
      <c r="B116" s="125"/>
      <c r="C116" s="125"/>
      <c r="E116" s="62"/>
      <c r="F116" s="62"/>
      <c r="G116" s="62"/>
      <c r="J116" s="162"/>
    </row>
    <row r="117" spans="2:10">
      <c r="B117" s="125"/>
      <c r="C117" s="125"/>
      <c r="E117" s="62"/>
      <c r="F117" s="62"/>
      <c r="G117" s="62"/>
      <c r="J117" s="162"/>
    </row>
    <row r="118" spans="2:10">
      <c r="B118" s="125"/>
      <c r="C118" s="125"/>
      <c r="E118" s="62"/>
      <c r="F118" s="62"/>
      <c r="G118" s="62"/>
      <c r="J118" s="162"/>
    </row>
    <row r="119" spans="2:10">
      <c r="E119" s="62"/>
      <c r="F119" s="62"/>
      <c r="G119" s="62"/>
      <c r="J119" s="162"/>
    </row>
    <row r="120" spans="2:10">
      <c r="E120" s="62"/>
      <c r="F120" s="62"/>
      <c r="G120" s="62"/>
      <c r="J120" s="162"/>
    </row>
    <row r="121" spans="2:10">
      <c r="E121" s="62"/>
      <c r="F121" s="62"/>
      <c r="G121" s="62"/>
      <c r="J121" s="162"/>
    </row>
    <row r="122" spans="2:10">
      <c r="E122" s="62"/>
      <c r="F122" s="62"/>
      <c r="G122" s="62"/>
      <c r="J122" s="162"/>
    </row>
    <row r="123" spans="2:10">
      <c r="E123" s="62"/>
      <c r="F123" s="62"/>
      <c r="G123" s="62"/>
      <c r="J123" s="162"/>
    </row>
    <row r="124" spans="2:10">
      <c r="E124" s="62"/>
      <c r="F124" s="62"/>
      <c r="G124" s="62"/>
      <c r="J124" s="162"/>
    </row>
    <row r="125" spans="2:10">
      <c r="E125" s="62"/>
      <c r="F125" s="62"/>
      <c r="G125" s="62"/>
      <c r="J125" s="162"/>
    </row>
    <row r="126" spans="2:10">
      <c r="E126" s="62"/>
      <c r="F126" s="62"/>
      <c r="G126" s="62"/>
      <c r="J126" s="162"/>
    </row>
    <row r="127" spans="2:10">
      <c r="E127" s="62"/>
      <c r="F127" s="62"/>
      <c r="G127" s="62"/>
      <c r="J127" s="162"/>
    </row>
    <row r="128" spans="2:10">
      <c r="E128" s="62"/>
      <c r="F128" s="62"/>
      <c r="G128" s="62"/>
      <c r="J128" s="162"/>
    </row>
    <row r="129" spans="5:10">
      <c r="E129" s="62"/>
      <c r="F129" s="62"/>
      <c r="G129" s="62"/>
      <c r="J129" s="162"/>
    </row>
    <row r="130" spans="5:10">
      <c r="E130" s="62"/>
      <c r="F130" s="62"/>
      <c r="G130" s="62"/>
      <c r="J130" s="162"/>
    </row>
    <row r="131" spans="5:10">
      <c r="E131" s="62"/>
      <c r="F131" s="62"/>
      <c r="G131" s="62"/>
      <c r="J131" s="162"/>
    </row>
    <row r="132" spans="5:10">
      <c r="E132" s="62"/>
      <c r="F132" s="62"/>
      <c r="G132" s="62"/>
      <c r="J132" s="162"/>
    </row>
    <row r="133" spans="5:10">
      <c r="E133" s="62"/>
      <c r="F133" s="62"/>
      <c r="G133" s="62"/>
      <c r="J133" s="162"/>
    </row>
    <row r="134" spans="5:10">
      <c r="E134" s="62"/>
      <c r="F134" s="62"/>
      <c r="G134" s="62"/>
      <c r="J134" s="162"/>
    </row>
    <row r="135" spans="5:10">
      <c r="E135" s="62"/>
      <c r="F135" s="62"/>
      <c r="G135" s="62"/>
      <c r="J135" s="162"/>
    </row>
    <row r="136" spans="5:10">
      <c r="E136" s="62"/>
      <c r="F136" s="62"/>
      <c r="G136" s="62"/>
      <c r="J136" s="162"/>
    </row>
    <row r="137" spans="5:10">
      <c r="E137" s="62"/>
      <c r="F137" s="62"/>
      <c r="G137" s="62"/>
      <c r="J137" s="162"/>
    </row>
    <row r="138" spans="5:10">
      <c r="E138" s="62"/>
      <c r="F138" s="62"/>
      <c r="G138" s="62"/>
      <c r="J138" s="162"/>
    </row>
    <row r="139" spans="5:10">
      <c r="E139" s="62"/>
      <c r="F139" s="62"/>
      <c r="G139" s="62"/>
      <c r="J139" s="162"/>
    </row>
    <row r="140" spans="5:10">
      <c r="E140" s="62"/>
      <c r="F140" s="62"/>
      <c r="G140" s="62"/>
      <c r="J140" s="162"/>
    </row>
    <row r="141" spans="5:10">
      <c r="E141" s="62"/>
      <c r="F141" s="62"/>
      <c r="G141" s="62"/>
      <c r="J141" s="162"/>
    </row>
    <row r="142" spans="5:10">
      <c r="E142" s="62"/>
      <c r="F142" s="62"/>
      <c r="G142" s="62"/>
      <c r="J142" s="162"/>
    </row>
    <row r="143" spans="5:10">
      <c r="E143" s="62"/>
      <c r="F143" s="62"/>
      <c r="G143" s="62"/>
      <c r="J143" s="162"/>
    </row>
    <row r="144" spans="5:10">
      <c r="E144" s="62"/>
      <c r="F144" s="62"/>
      <c r="G144" s="62"/>
      <c r="J144" s="162"/>
    </row>
    <row r="145" spans="5:10">
      <c r="E145" s="62"/>
      <c r="F145" s="62"/>
      <c r="G145" s="62"/>
      <c r="J145" s="162"/>
    </row>
    <row r="146" spans="5:10">
      <c r="E146" s="62"/>
      <c r="F146" s="62"/>
      <c r="G146" s="62"/>
      <c r="J146" s="162"/>
    </row>
    <row r="147" spans="5:10">
      <c r="E147" s="62"/>
      <c r="F147" s="62"/>
      <c r="G147" s="62"/>
      <c r="J147" s="162"/>
    </row>
    <row r="148" spans="5:10">
      <c r="E148" s="62"/>
      <c r="F148" s="62"/>
      <c r="G148" s="62"/>
      <c r="J148" s="162"/>
    </row>
    <row r="149" spans="5:10">
      <c r="E149" s="62"/>
      <c r="F149" s="62"/>
      <c r="G149" s="62"/>
      <c r="J149" s="162"/>
    </row>
    <row r="150" spans="5:10">
      <c r="E150" s="62"/>
      <c r="F150" s="62"/>
      <c r="G150" s="62"/>
      <c r="J150" s="162"/>
    </row>
    <row r="151" spans="5:10">
      <c r="E151" s="62"/>
      <c r="F151" s="62"/>
      <c r="G151" s="62"/>
      <c r="J151" s="162"/>
    </row>
    <row r="152" spans="5:10">
      <c r="E152" s="62"/>
      <c r="F152" s="62"/>
      <c r="G152" s="62"/>
      <c r="J152" s="162"/>
    </row>
    <row r="153" spans="5:10">
      <c r="E153" s="62"/>
      <c r="F153" s="62"/>
      <c r="G153" s="62"/>
      <c r="J153" s="162"/>
    </row>
    <row r="154" spans="5:10">
      <c r="E154" s="62"/>
      <c r="F154" s="62"/>
      <c r="G154" s="62"/>
      <c r="J154" s="162"/>
    </row>
    <row r="155" spans="5:10">
      <c r="E155" s="62"/>
      <c r="F155" s="62"/>
      <c r="G155" s="62"/>
      <c r="J155" s="162"/>
    </row>
    <row r="156" spans="5:10">
      <c r="E156" s="62"/>
      <c r="F156" s="62"/>
      <c r="G156" s="62"/>
      <c r="J156" s="162"/>
    </row>
    <row r="157" spans="5:10">
      <c r="E157" s="62"/>
      <c r="F157" s="62"/>
      <c r="G157" s="62"/>
      <c r="J157" s="162"/>
    </row>
    <row r="158" spans="5:10">
      <c r="E158" s="62"/>
      <c r="F158" s="62"/>
      <c r="G158" s="62"/>
      <c r="J158" s="162"/>
    </row>
    <row r="159" spans="5:10">
      <c r="E159" s="62"/>
      <c r="F159" s="62"/>
      <c r="G159" s="62"/>
      <c r="J159" s="162"/>
    </row>
    <row r="160" spans="5:10">
      <c r="E160" s="62"/>
      <c r="F160" s="62"/>
      <c r="G160" s="62"/>
      <c r="J160" s="162"/>
    </row>
    <row r="161" spans="5:10">
      <c r="E161" s="62"/>
      <c r="F161" s="62"/>
      <c r="G161" s="62"/>
      <c r="J161" s="162"/>
    </row>
    <row r="162" spans="5:10">
      <c r="E162" s="62"/>
      <c r="F162" s="62"/>
      <c r="G162" s="62"/>
      <c r="J162" s="162"/>
    </row>
    <row r="163" spans="5:10">
      <c r="E163" s="62"/>
      <c r="F163" s="62"/>
      <c r="G163" s="62"/>
      <c r="J163" s="162"/>
    </row>
    <row r="164" spans="5:10">
      <c r="E164" s="62"/>
      <c r="F164" s="62"/>
      <c r="G164" s="62"/>
      <c r="J164" s="162"/>
    </row>
    <row r="165" spans="5:10">
      <c r="E165" s="62"/>
      <c r="F165" s="62"/>
      <c r="G165" s="62"/>
      <c r="J165" s="162"/>
    </row>
    <row r="166" spans="5:10">
      <c r="E166" s="62"/>
      <c r="F166" s="62"/>
      <c r="G166" s="62"/>
      <c r="J166" s="162"/>
    </row>
    <row r="167" spans="5:10">
      <c r="E167" s="62"/>
      <c r="F167" s="62"/>
      <c r="G167" s="62"/>
      <c r="J167" s="162"/>
    </row>
    <row r="168" spans="5:10">
      <c r="E168" s="62"/>
      <c r="F168" s="62"/>
      <c r="G168" s="62"/>
      <c r="J168" s="162"/>
    </row>
    <row r="169" spans="5:10">
      <c r="E169" s="62"/>
      <c r="F169" s="62"/>
      <c r="G169" s="62"/>
      <c r="J169" s="162"/>
    </row>
    <row r="170" spans="5:10">
      <c r="E170" s="62"/>
      <c r="F170" s="62"/>
      <c r="G170" s="62"/>
      <c r="J170" s="162"/>
    </row>
    <row r="171" spans="5:10">
      <c r="E171" s="62"/>
      <c r="F171" s="62"/>
      <c r="G171" s="62"/>
      <c r="J171" s="162"/>
    </row>
    <row r="172" spans="5:10">
      <c r="E172" s="62"/>
      <c r="F172" s="62"/>
      <c r="G172" s="62"/>
      <c r="J172" s="162"/>
    </row>
    <row r="173" spans="5:10">
      <c r="E173" s="62"/>
      <c r="F173" s="62"/>
      <c r="G173" s="62"/>
      <c r="J173" s="162"/>
    </row>
    <row r="174" spans="5:10">
      <c r="E174" s="62"/>
      <c r="F174" s="62"/>
      <c r="G174" s="62"/>
      <c r="J174" s="162"/>
    </row>
    <row r="175" spans="5:10">
      <c r="E175" s="62"/>
      <c r="F175" s="62"/>
      <c r="G175" s="62"/>
      <c r="J175" s="162"/>
    </row>
    <row r="176" spans="5:10">
      <c r="E176" s="62"/>
      <c r="F176" s="62"/>
      <c r="G176" s="62"/>
      <c r="J176" s="162"/>
    </row>
    <row r="177" spans="5:10">
      <c r="E177" s="62"/>
      <c r="F177" s="62"/>
      <c r="G177" s="62"/>
      <c r="J177" s="162"/>
    </row>
    <row r="178" spans="5:10">
      <c r="E178" s="62"/>
      <c r="F178" s="62"/>
      <c r="G178" s="62"/>
      <c r="J178" s="162"/>
    </row>
    <row r="179" spans="5:10">
      <c r="E179" s="62"/>
      <c r="F179" s="62"/>
      <c r="G179" s="62"/>
      <c r="J179" s="162"/>
    </row>
    <row r="180" spans="5:10">
      <c r="E180" s="62"/>
      <c r="F180" s="62"/>
      <c r="G180" s="62"/>
      <c r="J180" s="162"/>
    </row>
    <row r="181" spans="5:10">
      <c r="E181" s="62"/>
      <c r="F181" s="62"/>
      <c r="G181" s="62"/>
      <c r="J181" s="162"/>
    </row>
    <row r="182" spans="5:10">
      <c r="E182" s="62"/>
      <c r="F182" s="62"/>
      <c r="G182" s="62"/>
      <c r="J182" s="162"/>
    </row>
    <row r="183" spans="5:10">
      <c r="E183" s="62"/>
      <c r="F183" s="62"/>
      <c r="G183" s="62"/>
      <c r="J183" s="162"/>
    </row>
    <row r="184" spans="5:10">
      <c r="E184" s="62"/>
      <c r="F184" s="62"/>
      <c r="G184" s="62"/>
      <c r="J184" s="162"/>
    </row>
    <row r="185" spans="5:10">
      <c r="E185" s="62"/>
      <c r="F185" s="62"/>
      <c r="G185" s="62"/>
      <c r="J185" s="162"/>
    </row>
    <row r="186" spans="5:10">
      <c r="E186" s="62"/>
      <c r="F186" s="62"/>
      <c r="G186" s="62"/>
      <c r="J186" s="162"/>
    </row>
    <row r="187" spans="5:10">
      <c r="E187" s="62"/>
      <c r="F187" s="62"/>
      <c r="G187" s="62"/>
      <c r="J187" s="162"/>
    </row>
    <row r="188" spans="5:10">
      <c r="E188" s="62"/>
      <c r="F188" s="62"/>
      <c r="G188" s="62"/>
      <c r="J188" s="162"/>
    </row>
    <row r="189" spans="5:10">
      <c r="E189" s="62"/>
      <c r="F189" s="62"/>
      <c r="G189" s="62"/>
      <c r="J189" s="162"/>
    </row>
    <row r="190" spans="5:10">
      <c r="E190" s="62"/>
      <c r="F190" s="62"/>
      <c r="G190" s="62"/>
      <c r="J190" s="162"/>
    </row>
    <row r="191" spans="5:10">
      <c r="E191" s="62"/>
      <c r="F191" s="62"/>
      <c r="G191" s="62"/>
      <c r="J191" s="162"/>
    </row>
    <row r="192" spans="5:10">
      <c r="E192" s="62"/>
      <c r="F192" s="62"/>
      <c r="G192" s="62"/>
      <c r="J192" s="162"/>
    </row>
    <row r="193" spans="5:10">
      <c r="E193" s="62"/>
      <c r="F193" s="62"/>
      <c r="G193" s="62"/>
      <c r="J193" s="162"/>
    </row>
    <row r="194" spans="5:10">
      <c r="E194" s="62"/>
      <c r="F194" s="62"/>
      <c r="G194" s="62"/>
      <c r="J194" s="162"/>
    </row>
    <row r="195" spans="5:10">
      <c r="E195" s="62"/>
      <c r="F195" s="62"/>
      <c r="G195" s="62"/>
      <c r="J195" s="162"/>
    </row>
    <row r="196" spans="5:10">
      <c r="E196" s="62"/>
      <c r="F196" s="62"/>
      <c r="G196" s="62"/>
      <c r="J196" s="162"/>
    </row>
    <row r="197" spans="5:10">
      <c r="E197" s="62"/>
      <c r="F197" s="62"/>
      <c r="G197" s="62"/>
      <c r="J197" s="162"/>
    </row>
    <row r="198" spans="5:10">
      <c r="E198" s="62"/>
      <c r="F198" s="62"/>
      <c r="G198" s="62"/>
      <c r="J198" s="162"/>
    </row>
    <row r="199" spans="5:10">
      <c r="E199" s="62"/>
      <c r="F199" s="62"/>
      <c r="G199" s="62"/>
      <c r="J199" s="162"/>
    </row>
    <row r="200" spans="5:10">
      <c r="E200" s="62"/>
      <c r="F200" s="62"/>
      <c r="G200" s="62"/>
      <c r="J200" s="162"/>
    </row>
    <row r="201" spans="5:10">
      <c r="E201" s="62"/>
      <c r="F201" s="62"/>
      <c r="G201" s="62"/>
      <c r="J201" s="162"/>
    </row>
    <row r="202" spans="5:10">
      <c r="E202" s="62"/>
      <c r="F202" s="62"/>
      <c r="G202" s="62"/>
      <c r="J202" s="162"/>
    </row>
    <row r="203" spans="5:10">
      <c r="E203" s="62"/>
      <c r="F203" s="62"/>
      <c r="G203" s="62"/>
      <c r="J203" s="162"/>
    </row>
    <row r="204" spans="5:10">
      <c r="E204" s="62"/>
      <c r="F204" s="62"/>
      <c r="G204" s="62"/>
      <c r="J204" s="162"/>
    </row>
    <row r="205" spans="5:10">
      <c r="E205" s="62"/>
      <c r="F205" s="62"/>
      <c r="G205" s="62"/>
      <c r="J205" s="162"/>
    </row>
    <row r="206" spans="5:10">
      <c r="E206" s="62"/>
      <c r="F206" s="62"/>
      <c r="G206" s="62"/>
      <c r="J206" s="162"/>
    </row>
    <row r="207" spans="5:10">
      <c r="E207" s="62"/>
      <c r="F207" s="62"/>
      <c r="G207" s="62"/>
      <c r="J207" s="162"/>
    </row>
    <row r="208" spans="5:10">
      <c r="E208" s="62"/>
      <c r="F208" s="62"/>
      <c r="G208" s="62"/>
      <c r="J208" s="162"/>
    </row>
    <row r="209" spans="5:10">
      <c r="E209" s="62"/>
      <c r="F209" s="62"/>
      <c r="G209" s="62"/>
      <c r="J209" s="162"/>
    </row>
    <row r="210" spans="5:10">
      <c r="E210" s="62"/>
      <c r="F210" s="62"/>
      <c r="G210" s="62"/>
      <c r="J210" s="162"/>
    </row>
    <row r="211" spans="5:10">
      <c r="E211" s="62"/>
      <c r="F211" s="62"/>
      <c r="G211" s="62"/>
      <c r="J211" s="162"/>
    </row>
    <row r="212" spans="5:10">
      <c r="E212" s="62"/>
      <c r="F212" s="62"/>
      <c r="G212" s="62"/>
      <c r="J212" s="162"/>
    </row>
    <row r="213" spans="5:10">
      <c r="E213" s="62"/>
      <c r="F213" s="62"/>
      <c r="G213" s="62"/>
      <c r="J213" s="162"/>
    </row>
    <row r="214" spans="5:10">
      <c r="E214" s="62"/>
      <c r="F214" s="62"/>
      <c r="G214" s="62"/>
      <c r="J214" s="162"/>
    </row>
    <row r="215" spans="5:10">
      <c r="E215" s="62"/>
      <c r="F215" s="62"/>
      <c r="G215" s="62"/>
      <c r="J215" s="162"/>
    </row>
    <row r="216" spans="5:10">
      <c r="E216" s="62"/>
      <c r="F216" s="62"/>
      <c r="G216" s="62"/>
      <c r="J216" s="162"/>
    </row>
    <row r="217" spans="5:10">
      <c r="E217" s="62"/>
      <c r="F217" s="62"/>
      <c r="G217" s="62"/>
      <c r="J217" s="162"/>
    </row>
    <row r="218" spans="5:10">
      <c r="E218" s="62"/>
      <c r="F218" s="62"/>
      <c r="G218" s="62"/>
      <c r="J218" s="162"/>
    </row>
    <row r="219" spans="5:10">
      <c r="E219" s="62"/>
      <c r="F219" s="62"/>
      <c r="G219" s="62"/>
      <c r="J219" s="162"/>
    </row>
    <row r="220" spans="5:10">
      <c r="E220" s="62"/>
      <c r="F220" s="62"/>
      <c r="G220" s="62"/>
      <c r="J220" s="162"/>
    </row>
    <row r="221" spans="5:10">
      <c r="E221" s="62"/>
      <c r="F221" s="62"/>
      <c r="G221" s="62"/>
      <c r="J221" s="162"/>
    </row>
    <row r="222" spans="5:10">
      <c r="E222" s="62"/>
      <c r="F222" s="62"/>
      <c r="G222" s="62"/>
      <c r="J222" s="162"/>
    </row>
    <row r="223" spans="5:10">
      <c r="E223" s="62"/>
      <c r="F223" s="62"/>
      <c r="G223" s="62"/>
      <c r="J223" s="162"/>
    </row>
    <row r="224" spans="5:10">
      <c r="E224" s="62"/>
      <c r="F224" s="62"/>
      <c r="G224" s="62"/>
      <c r="J224" s="162"/>
    </row>
    <row r="225" spans="5:10">
      <c r="E225" s="62"/>
      <c r="F225" s="62"/>
      <c r="G225" s="62"/>
      <c r="J225" s="162"/>
    </row>
    <row r="226" spans="5:10">
      <c r="E226" s="62"/>
      <c r="F226" s="62"/>
      <c r="G226" s="62"/>
      <c r="J226" s="162"/>
    </row>
    <row r="227" spans="5:10">
      <c r="E227" s="62"/>
      <c r="F227" s="62"/>
      <c r="G227" s="62"/>
      <c r="J227" s="162"/>
    </row>
    <row r="228" spans="5:10">
      <c r="E228" s="62"/>
      <c r="F228" s="62"/>
      <c r="G228" s="62"/>
      <c r="J228" s="162"/>
    </row>
    <row r="229" spans="5:10">
      <c r="E229" s="62"/>
      <c r="F229" s="62"/>
      <c r="G229" s="62"/>
      <c r="J229" s="162"/>
    </row>
    <row r="230" spans="5:10">
      <c r="E230" s="62"/>
      <c r="F230" s="62"/>
      <c r="G230" s="62"/>
      <c r="J230" s="162"/>
    </row>
    <row r="231" spans="5:10">
      <c r="E231" s="62"/>
      <c r="F231" s="62"/>
      <c r="G231" s="62"/>
      <c r="J231" s="162"/>
    </row>
    <row r="232" spans="5:10">
      <c r="E232" s="62"/>
      <c r="F232" s="62"/>
      <c r="G232" s="62"/>
      <c r="J232" s="162"/>
    </row>
    <row r="233" spans="5:10">
      <c r="E233" s="62"/>
      <c r="F233" s="62"/>
      <c r="G233" s="62"/>
      <c r="J233" s="162"/>
    </row>
    <row r="234" spans="5:10">
      <c r="E234" s="62"/>
      <c r="F234" s="62"/>
      <c r="G234" s="62"/>
      <c r="J234" s="162"/>
    </row>
    <row r="235" spans="5:10">
      <c r="E235" s="62"/>
      <c r="F235" s="62"/>
      <c r="G235" s="62"/>
      <c r="J235" s="162"/>
    </row>
    <row r="236" spans="5:10">
      <c r="E236" s="62"/>
      <c r="F236" s="62"/>
      <c r="G236" s="62"/>
      <c r="J236" s="162"/>
    </row>
    <row r="237" spans="5:10">
      <c r="E237" s="62"/>
      <c r="F237" s="62"/>
      <c r="G237" s="62"/>
      <c r="J237" s="162"/>
    </row>
    <row r="238" spans="5:10">
      <c r="E238" s="62"/>
      <c r="F238" s="62"/>
      <c r="G238" s="62"/>
      <c r="J238" s="162"/>
    </row>
    <row r="239" spans="5:10">
      <c r="E239" s="62"/>
      <c r="F239" s="62"/>
      <c r="G239" s="62"/>
      <c r="J239" s="162"/>
    </row>
    <row r="240" spans="5:10">
      <c r="E240" s="62"/>
      <c r="F240" s="62"/>
      <c r="G240" s="62"/>
      <c r="J240" s="162"/>
    </row>
    <row r="241" spans="5:10">
      <c r="E241" s="62"/>
      <c r="F241" s="62"/>
      <c r="G241" s="62"/>
      <c r="J241" s="162"/>
    </row>
    <row r="242" spans="5:10">
      <c r="E242" s="62"/>
      <c r="F242" s="62"/>
      <c r="G242" s="62"/>
      <c r="J242" s="162"/>
    </row>
    <row r="243" spans="5:10">
      <c r="E243" s="62"/>
      <c r="F243" s="62"/>
      <c r="G243" s="62"/>
      <c r="J243" s="162"/>
    </row>
    <row r="244" spans="5:10">
      <c r="E244" s="62"/>
      <c r="F244" s="62"/>
      <c r="G244" s="62"/>
      <c r="J244" s="162"/>
    </row>
    <row r="245" spans="5:10">
      <c r="E245" s="62"/>
      <c r="F245" s="62"/>
      <c r="G245" s="62"/>
      <c r="J245" s="162"/>
    </row>
    <row r="246" spans="5:10">
      <c r="E246" s="62"/>
      <c r="F246" s="62"/>
      <c r="G246" s="62"/>
      <c r="J246" s="162"/>
    </row>
    <row r="247" spans="5:10">
      <c r="E247" s="62"/>
      <c r="F247" s="62"/>
      <c r="G247" s="62"/>
      <c r="J247" s="162"/>
    </row>
    <row r="248" spans="5:10">
      <c r="E248" s="62"/>
      <c r="F248" s="62"/>
      <c r="G248" s="62"/>
      <c r="J248" s="162"/>
    </row>
    <row r="249" spans="5:10">
      <c r="E249" s="62"/>
      <c r="F249" s="62"/>
      <c r="G249" s="62"/>
      <c r="J249" s="162"/>
    </row>
    <row r="250" spans="5:10">
      <c r="E250" s="62"/>
      <c r="F250" s="62"/>
      <c r="G250" s="62"/>
      <c r="J250" s="162"/>
    </row>
    <row r="251" spans="5:10">
      <c r="E251" s="62"/>
      <c r="F251" s="62"/>
      <c r="G251" s="62"/>
      <c r="J251" s="162"/>
    </row>
    <row r="252" spans="5:10">
      <c r="E252" s="62"/>
      <c r="F252" s="62"/>
      <c r="G252" s="62"/>
      <c r="J252" s="162"/>
    </row>
    <row r="253" spans="5:10">
      <c r="E253" s="62"/>
      <c r="F253" s="62"/>
      <c r="G253" s="62"/>
      <c r="J253" s="162"/>
    </row>
    <row r="254" spans="5:10">
      <c r="E254" s="62"/>
      <c r="F254" s="62"/>
      <c r="G254" s="62"/>
      <c r="J254" s="162"/>
    </row>
    <row r="255" spans="5:10">
      <c r="E255" s="62"/>
      <c r="F255" s="62"/>
      <c r="G255" s="62"/>
      <c r="J255" s="162"/>
    </row>
    <row r="256" spans="5:10">
      <c r="E256" s="62"/>
      <c r="F256" s="62"/>
      <c r="G256" s="62"/>
      <c r="J256" s="162"/>
    </row>
    <row r="257" spans="5:10">
      <c r="E257" s="62"/>
      <c r="F257" s="62"/>
      <c r="G257" s="62"/>
      <c r="J257" s="162"/>
    </row>
    <row r="258" spans="5:10">
      <c r="E258" s="62"/>
      <c r="F258" s="62"/>
      <c r="G258" s="62"/>
      <c r="J258" s="162"/>
    </row>
    <row r="259" spans="5:10">
      <c r="E259" s="62"/>
      <c r="F259" s="62"/>
      <c r="G259" s="62"/>
      <c r="J259" s="162"/>
    </row>
    <row r="260" spans="5:10">
      <c r="E260" s="62"/>
      <c r="F260" s="62"/>
      <c r="G260" s="62"/>
      <c r="J260" s="162"/>
    </row>
    <row r="261" spans="5:10">
      <c r="E261" s="62"/>
      <c r="F261" s="62"/>
      <c r="G261" s="62"/>
      <c r="J261" s="162"/>
    </row>
    <row r="262" spans="5:10">
      <c r="E262" s="62"/>
      <c r="F262" s="62"/>
      <c r="G262" s="62"/>
      <c r="J262" s="162"/>
    </row>
    <row r="263" spans="5:10">
      <c r="E263" s="62"/>
      <c r="F263" s="62"/>
      <c r="G263" s="62"/>
      <c r="J263" s="162"/>
    </row>
    <row r="264" spans="5:10">
      <c r="E264" s="62"/>
      <c r="F264" s="62"/>
      <c r="G264" s="62"/>
      <c r="J264" s="162"/>
    </row>
    <row r="265" spans="5:10">
      <c r="E265" s="62"/>
      <c r="F265" s="62"/>
      <c r="G265" s="62"/>
      <c r="J265" s="162"/>
    </row>
    <row r="266" spans="5:10">
      <c r="E266" s="62"/>
      <c r="F266" s="62"/>
      <c r="G266" s="62"/>
      <c r="J266" s="162"/>
    </row>
    <row r="267" spans="5:10">
      <c r="E267" s="62"/>
      <c r="F267" s="62"/>
      <c r="G267" s="62"/>
      <c r="J267" s="162"/>
    </row>
    <row r="268" spans="5:10">
      <c r="E268" s="62"/>
      <c r="F268" s="62"/>
      <c r="G268" s="62"/>
      <c r="J268" s="162"/>
    </row>
    <row r="269" spans="5:10">
      <c r="E269" s="62"/>
      <c r="F269" s="62"/>
      <c r="G269" s="62"/>
      <c r="J269" s="162"/>
    </row>
    <row r="270" spans="5:10">
      <c r="E270" s="62"/>
      <c r="F270" s="62"/>
      <c r="G270" s="62"/>
      <c r="J270" s="162"/>
    </row>
    <row r="271" spans="5:10">
      <c r="E271" s="62"/>
      <c r="F271" s="62"/>
      <c r="G271" s="62"/>
      <c r="J271" s="162"/>
    </row>
    <row r="272" spans="5:10">
      <c r="E272" s="62"/>
      <c r="F272" s="62"/>
      <c r="G272" s="62"/>
      <c r="J272" s="162"/>
    </row>
    <row r="273" spans="5:10">
      <c r="E273" s="62"/>
      <c r="F273" s="62"/>
      <c r="G273" s="62"/>
      <c r="J273" s="162"/>
    </row>
    <row r="274" spans="5:10">
      <c r="E274" s="62"/>
      <c r="F274" s="62"/>
      <c r="G274" s="62"/>
      <c r="J274" s="162"/>
    </row>
    <row r="275" spans="5:10">
      <c r="E275" s="62"/>
      <c r="F275" s="62"/>
      <c r="G275" s="62"/>
      <c r="J275" s="162"/>
    </row>
    <row r="276" spans="5:10">
      <c r="E276" s="62"/>
      <c r="F276" s="62"/>
      <c r="G276" s="62"/>
      <c r="J276" s="162"/>
    </row>
    <row r="277" spans="5:10">
      <c r="E277" s="62"/>
      <c r="F277" s="62"/>
      <c r="G277" s="62"/>
      <c r="J277" s="162"/>
    </row>
    <row r="278" spans="5:10">
      <c r="E278" s="62"/>
      <c r="F278" s="62"/>
      <c r="G278" s="62"/>
      <c r="J278" s="162"/>
    </row>
    <row r="279" spans="5:10">
      <c r="E279" s="62"/>
      <c r="F279" s="62"/>
      <c r="G279" s="62"/>
      <c r="J279" s="162"/>
    </row>
    <row r="280" spans="5:10">
      <c r="E280" s="62"/>
      <c r="F280" s="62"/>
      <c r="G280" s="62"/>
      <c r="J280" s="162"/>
    </row>
    <row r="281" spans="5:10">
      <c r="E281" s="62"/>
      <c r="F281" s="62"/>
      <c r="G281" s="62"/>
      <c r="J281" s="162"/>
    </row>
    <row r="282" spans="5:10">
      <c r="E282" s="62"/>
      <c r="F282" s="62"/>
      <c r="G282" s="62"/>
      <c r="J282" s="162"/>
    </row>
    <row r="283" spans="5:10">
      <c r="E283" s="62"/>
      <c r="F283" s="62"/>
      <c r="G283" s="62"/>
      <c r="J283" s="162"/>
    </row>
    <row r="284" spans="5:10">
      <c r="E284" s="62"/>
      <c r="F284" s="62"/>
      <c r="G284" s="62"/>
      <c r="J284" s="162"/>
    </row>
    <row r="285" spans="5:10">
      <c r="E285" s="62"/>
      <c r="F285" s="62"/>
      <c r="G285" s="62"/>
      <c r="J285" s="162"/>
    </row>
    <row r="286" spans="5:10">
      <c r="E286" s="62"/>
      <c r="F286" s="62"/>
      <c r="G286" s="62"/>
      <c r="J286" s="162"/>
    </row>
    <row r="287" spans="5:10">
      <c r="E287" s="62"/>
      <c r="F287" s="62"/>
      <c r="G287" s="62"/>
      <c r="J287" s="162"/>
    </row>
    <row r="288" spans="5:10">
      <c r="E288" s="62"/>
      <c r="F288" s="62"/>
      <c r="G288" s="62"/>
      <c r="J288" s="162"/>
    </row>
    <row r="289" spans="5:10">
      <c r="E289" s="62"/>
      <c r="F289" s="62"/>
      <c r="G289" s="62"/>
      <c r="J289" s="162"/>
    </row>
    <row r="290" spans="5:10">
      <c r="E290" s="62"/>
      <c r="F290" s="62"/>
      <c r="G290" s="62"/>
      <c r="J290" s="162"/>
    </row>
    <row r="291" spans="5:10">
      <c r="E291" s="62"/>
      <c r="F291" s="62"/>
      <c r="G291" s="62"/>
      <c r="J291" s="162"/>
    </row>
    <row r="292" spans="5:10">
      <c r="E292" s="62"/>
      <c r="F292" s="62"/>
      <c r="G292" s="62"/>
      <c r="J292" s="162"/>
    </row>
    <row r="293" spans="5:10">
      <c r="E293" s="62"/>
      <c r="F293" s="62"/>
      <c r="G293" s="62"/>
      <c r="J293" s="162"/>
    </row>
    <row r="294" spans="5:10">
      <c r="E294" s="62"/>
      <c r="F294" s="62"/>
      <c r="G294" s="62"/>
      <c r="J294" s="162"/>
    </row>
    <row r="295" spans="5:10">
      <c r="E295" s="62"/>
      <c r="F295" s="62"/>
      <c r="G295" s="62"/>
      <c r="J295" s="162"/>
    </row>
    <row r="296" spans="5:10">
      <c r="E296" s="62"/>
      <c r="F296" s="62"/>
      <c r="G296" s="62"/>
      <c r="J296" s="162"/>
    </row>
    <row r="297" spans="5:10">
      <c r="E297" s="62"/>
      <c r="F297" s="62"/>
      <c r="G297" s="62"/>
      <c r="J297" s="162"/>
    </row>
    <row r="298" spans="5:10">
      <c r="E298" s="62"/>
      <c r="F298" s="62"/>
      <c r="G298" s="62"/>
      <c r="J298" s="162"/>
    </row>
    <row r="299" spans="5:10">
      <c r="E299" s="62"/>
      <c r="F299" s="62"/>
      <c r="G299" s="62"/>
      <c r="J299" s="162"/>
    </row>
    <row r="300" spans="5:10">
      <c r="E300" s="62"/>
      <c r="F300" s="62"/>
      <c r="G300" s="62"/>
      <c r="J300" s="162"/>
    </row>
    <row r="301" spans="5:10">
      <c r="E301" s="62"/>
      <c r="F301" s="62"/>
      <c r="G301" s="62"/>
      <c r="J301" s="162"/>
    </row>
    <row r="302" spans="5:10">
      <c r="E302" s="62"/>
      <c r="F302" s="62"/>
      <c r="G302" s="62"/>
      <c r="J302" s="162"/>
    </row>
    <row r="303" spans="5:10">
      <c r="E303" s="62"/>
      <c r="F303" s="62"/>
      <c r="G303" s="62"/>
      <c r="J303" s="162"/>
    </row>
    <row r="304" spans="5:10">
      <c r="E304" s="62"/>
      <c r="F304" s="62"/>
      <c r="G304" s="62"/>
      <c r="J304" s="162"/>
    </row>
    <row r="305" spans="5:10">
      <c r="E305" s="62"/>
      <c r="F305" s="62"/>
      <c r="G305" s="62"/>
      <c r="J305" s="162"/>
    </row>
    <row r="306" spans="5:10">
      <c r="E306" s="62"/>
      <c r="F306" s="62"/>
      <c r="G306" s="62"/>
      <c r="J306" s="162"/>
    </row>
    <row r="307" spans="5:10">
      <c r="E307" s="62"/>
      <c r="F307" s="62"/>
      <c r="G307" s="62"/>
      <c r="J307" s="162"/>
    </row>
    <row r="308" spans="5:10">
      <c r="E308" s="62"/>
      <c r="F308" s="62"/>
      <c r="G308" s="62"/>
      <c r="J308" s="162"/>
    </row>
    <row r="309" spans="5:10">
      <c r="E309" s="62"/>
      <c r="F309" s="62"/>
      <c r="G309" s="62"/>
      <c r="J309" s="162"/>
    </row>
    <row r="310" spans="5:10">
      <c r="E310" s="62"/>
      <c r="F310" s="62"/>
      <c r="G310" s="62"/>
      <c r="J310" s="162"/>
    </row>
    <row r="311" spans="5:10">
      <c r="E311" s="62"/>
      <c r="F311" s="62"/>
      <c r="G311" s="62"/>
      <c r="J311" s="162"/>
    </row>
    <row r="312" spans="5:10">
      <c r="E312" s="62"/>
      <c r="F312" s="62"/>
      <c r="G312" s="62"/>
      <c r="J312" s="162"/>
    </row>
    <row r="313" spans="5:10">
      <c r="E313" s="62"/>
      <c r="F313" s="62"/>
      <c r="G313" s="62"/>
      <c r="J313" s="162"/>
    </row>
    <row r="314" spans="5:10">
      <c r="E314" s="62"/>
      <c r="F314" s="62"/>
      <c r="G314" s="62"/>
      <c r="J314" s="162"/>
    </row>
    <row r="315" spans="5:10">
      <c r="E315" s="62"/>
      <c r="F315" s="62"/>
      <c r="G315" s="62"/>
      <c r="J315" s="162"/>
    </row>
    <row r="316" spans="5:10">
      <c r="E316" s="62"/>
      <c r="F316" s="62"/>
      <c r="G316" s="62"/>
      <c r="J316" s="162"/>
    </row>
    <row r="317" spans="5:10">
      <c r="E317" s="62"/>
      <c r="F317" s="62"/>
      <c r="G317" s="62"/>
      <c r="J317" s="162"/>
    </row>
    <row r="318" spans="5:10">
      <c r="E318" s="62"/>
      <c r="F318" s="62"/>
      <c r="G318" s="62"/>
      <c r="J318" s="162"/>
    </row>
    <row r="319" spans="5:10">
      <c r="E319" s="62"/>
      <c r="F319" s="62"/>
      <c r="G319" s="62"/>
      <c r="J319" s="162"/>
    </row>
    <row r="320" spans="5:10">
      <c r="E320" s="62"/>
      <c r="F320" s="62"/>
      <c r="G320" s="62"/>
      <c r="J320" s="162"/>
    </row>
    <row r="321" spans="5:10">
      <c r="E321" s="62"/>
      <c r="F321" s="62"/>
      <c r="G321" s="62"/>
      <c r="J321" s="162"/>
    </row>
    <row r="322" spans="5:10">
      <c r="E322" s="62"/>
      <c r="F322" s="62"/>
      <c r="G322" s="62"/>
      <c r="J322" s="162"/>
    </row>
    <row r="323" spans="5:10">
      <c r="E323" s="62"/>
      <c r="F323" s="62"/>
      <c r="G323" s="62"/>
      <c r="J323" s="162"/>
    </row>
    <row r="324" spans="5:10">
      <c r="E324" s="62"/>
      <c r="F324" s="62"/>
      <c r="G324" s="62"/>
      <c r="J324" s="162"/>
    </row>
    <row r="325" spans="5:10">
      <c r="E325" s="62"/>
      <c r="F325" s="62"/>
      <c r="G325" s="62"/>
      <c r="J325" s="162"/>
    </row>
    <row r="326" spans="5:10">
      <c r="E326" s="62"/>
      <c r="F326" s="62"/>
      <c r="G326" s="62"/>
      <c r="J326" s="162"/>
    </row>
    <row r="327" spans="5:10">
      <c r="E327" s="62"/>
      <c r="F327" s="62"/>
      <c r="G327" s="62"/>
      <c r="J327" s="162"/>
    </row>
    <row r="328" spans="5:10">
      <c r="E328" s="62"/>
      <c r="F328" s="62"/>
      <c r="G328" s="62"/>
      <c r="J328" s="162"/>
    </row>
    <row r="329" spans="5:10">
      <c r="E329" s="62"/>
      <c r="F329" s="62"/>
      <c r="G329" s="62"/>
      <c r="J329" s="162"/>
    </row>
    <row r="330" spans="5:10">
      <c r="E330" s="62"/>
      <c r="F330" s="62"/>
      <c r="G330" s="62"/>
      <c r="J330" s="162"/>
    </row>
    <row r="331" spans="5:10">
      <c r="E331" s="62"/>
      <c r="F331" s="62"/>
      <c r="G331" s="62"/>
      <c r="J331" s="162"/>
    </row>
    <row r="332" spans="5:10">
      <c r="E332" s="62"/>
      <c r="F332" s="62"/>
      <c r="G332" s="62"/>
      <c r="J332" s="162"/>
    </row>
  </sheetData>
  <mergeCells count="3">
    <mergeCell ref="C6:D6"/>
    <mergeCell ref="I12:J12"/>
    <mergeCell ref="B1:J1"/>
  </mergeCells>
  <conditionalFormatting sqref="B17:J501">
    <cfRule type="expression" dxfId="0" priority="2">
      <formula>AND(SUBTOTAL(103, B17), COUNTIF($B17:$J17, "Totals")&gt;0)</formula>
    </cfRule>
  </conditionalFormatting>
  <printOptions horizontalCentered="1"/>
  <pageMargins left="0.31496062992125984" right="0.31496062992125984" top="0.35433070866141736" bottom="0.15748031496062992" header="0.11811023622047245" footer="0.11811023622047245"/>
  <pageSetup scale="67" fitToHeight="2" orientation="portrait" horizontalDpi="1200" verticalDpi="1200" r:id="rId1"/>
  <rowBreaks count="1" manualBreakCount="1">
    <brk id="50" max="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5EBE6BF-DBFE-4303-8E70-48A502A32348}">
          <x14:formula1>
            <xm:f>Data!$W$2:$W$3</xm:f>
          </x14:formula1>
          <xm:sqref>C8</xm:sqref>
        </x14:dataValidation>
        <x14:dataValidation type="list" allowBlank="1" showInputMessage="1" showErrorMessage="1" xr:uid="{1E431EBB-ECEF-45B6-A4B7-85B1C3B66CC0}">
          <x14:formula1>
            <xm:f>Rates!$O$4:$O$13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6668-1065-457A-B02F-F074EDA6BC1A}">
  <dimension ref="B3:B39"/>
  <sheetViews>
    <sheetView workbookViewId="0">
      <selection activeCell="B18" sqref="B18"/>
    </sheetView>
  </sheetViews>
  <sheetFormatPr defaultRowHeight="14.5"/>
  <cols>
    <col min="2" max="2" width="100.54296875" customWidth="1"/>
  </cols>
  <sheetData>
    <row r="3" spans="2:2">
      <c r="B3" s="163" t="s">
        <v>99</v>
      </c>
    </row>
    <row r="4" spans="2:2">
      <c r="B4" s="164"/>
    </row>
    <row r="5" spans="2:2">
      <c r="B5" s="164" t="s">
        <v>100</v>
      </c>
    </row>
    <row r="6" spans="2:2">
      <c r="B6" s="164"/>
    </row>
    <row r="7" spans="2:2">
      <c r="B7" s="165" t="s">
        <v>101</v>
      </c>
    </row>
    <row r="8" spans="2:2">
      <c r="B8" s="164" t="s">
        <v>102</v>
      </c>
    </row>
    <row r="9" spans="2:2">
      <c r="B9" s="166"/>
    </row>
    <row r="10" spans="2:2">
      <c r="B10" s="166" t="s">
        <v>85</v>
      </c>
    </row>
    <row r="11" spans="2:2">
      <c r="B11" s="166"/>
    </row>
    <row r="12" spans="2:2">
      <c r="B12" s="166" t="s">
        <v>86</v>
      </c>
    </row>
    <row r="13" spans="2:2">
      <c r="B13" s="166"/>
    </row>
    <row r="14" spans="2:2">
      <c r="B14" s="166" t="s">
        <v>103</v>
      </c>
    </row>
    <row r="15" spans="2:2">
      <c r="B15" s="166"/>
    </row>
    <row r="16" spans="2:2">
      <c r="B16" s="166" t="s">
        <v>104</v>
      </c>
    </row>
    <row r="17" spans="2:2">
      <c r="B17" s="164"/>
    </row>
    <row r="18" spans="2:2">
      <c r="B18" s="164" t="s">
        <v>105</v>
      </c>
    </row>
    <row r="19" spans="2:2">
      <c r="B19" s="164"/>
    </row>
    <row r="20" spans="2:2">
      <c r="B20" s="164"/>
    </row>
    <row r="21" spans="2:2">
      <c r="B21" s="164"/>
    </row>
    <row r="22" spans="2:2">
      <c r="B22" s="164"/>
    </row>
    <row r="23" spans="2:2">
      <c r="B23" s="164"/>
    </row>
    <row r="24" spans="2:2">
      <c r="B24" s="164"/>
    </row>
    <row r="25" spans="2:2">
      <c r="B25" s="167" t="s">
        <v>98</v>
      </c>
    </row>
    <row r="26" spans="2:2">
      <c r="B26" s="164"/>
    </row>
    <row r="27" spans="2:2">
      <c r="B27" s="164"/>
    </row>
    <row r="28" spans="2:2">
      <c r="B28" s="164"/>
    </row>
    <row r="29" spans="2:2">
      <c r="B29" s="164"/>
    </row>
    <row r="30" spans="2:2">
      <c r="B30" s="164"/>
    </row>
    <row r="31" spans="2:2">
      <c r="B31" s="164"/>
    </row>
    <row r="32" spans="2:2">
      <c r="B32" s="164"/>
    </row>
    <row r="33" spans="2:2">
      <c r="B33" s="167"/>
    </row>
    <row r="34" spans="2:2">
      <c r="B34" s="164"/>
    </row>
    <row r="35" spans="2:2">
      <c r="B35" s="164"/>
    </row>
    <row r="36" spans="2:2">
      <c r="B36" s="164"/>
    </row>
    <row r="37" spans="2:2">
      <c r="B37" s="164"/>
    </row>
    <row r="38" spans="2:2">
      <c r="B38" s="164"/>
    </row>
    <row r="39" spans="2:2">
      <c r="B39" s="168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1826-082F-4700-90E4-9E8A06347A7F}">
  <dimension ref="B1:I17"/>
  <sheetViews>
    <sheetView workbookViewId="0">
      <selection activeCell="D10" sqref="D10"/>
    </sheetView>
  </sheetViews>
  <sheetFormatPr defaultRowHeight="14.5"/>
  <cols>
    <col min="3" max="3" width="9" customWidth="1"/>
    <col min="4" max="4" width="15.7265625" customWidth="1"/>
    <col min="5" max="5" width="14.81640625" customWidth="1"/>
    <col min="6" max="6" width="11.1796875" customWidth="1"/>
    <col min="7" max="8" width="14.1796875" customWidth="1"/>
    <col min="9" max="9" width="9.81640625" bestFit="1" customWidth="1"/>
  </cols>
  <sheetData>
    <row r="1" spans="2:9" ht="18.5">
      <c r="B1" s="44" t="s">
        <v>19</v>
      </c>
    </row>
    <row r="2" spans="2:9">
      <c r="B2" t="s">
        <v>95</v>
      </c>
    </row>
    <row r="4" spans="2:9">
      <c r="B4" s="99"/>
      <c r="E4" s="99"/>
      <c r="F4" s="99"/>
      <c r="G4" s="99"/>
      <c r="H4" s="99"/>
    </row>
    <row r="5" spans="2:9">
      <c r="B5" s="99"/>
      <c r="C5" s="188" t="s">
        <v>69</v>
      </c>
      <c r="D5" s="189"/>
      <c r="E5" s="99"/>
      <c r="F5" s="99"/>
      <c r="G5" s="99"/>
      <c r="H5" s="99"/>
    </row>
    <row r="6" spans="2:9" ht="43.5">
      <c r="B6" s="103" t="s">
        <v>70</v>
      </c>
      <c r="C6" s="104" t="s">
        <v>67</v>
      </c>
      <c r="D6" s="104" t="s">
        <v>68</v>
      </c>
      <c r="E6" s="103" t="s">
        <v>64</v>
      </c>
      <c r="F6" s="103" t="s">
        <v>65</v>
      </c>
      <c r="G6" s="103" t="s">
        <v>66</v>
      </c>
      <c r="H6" s="99"/>
    </row>
    <row r="7" spans="2:9">
      <c r="B7" s="101">
        <f>'Loan Quote Source'!W17</f>
        <v>2025</v>
      </c>
      <c r="C7" s="105" cm="1">
        <f t="array" ref="C7">IFERROR(_xlfn.XLOOKUP(B7&amp;$C$6,'Loan Quote Source'!$W:$W&amp;'Loan Quote Source'!$N:$N,'Loan Quote Source'!$N:$N),0)</f>
        <v>0</v>
      </c>
      <c r="D7" s="105" cm="1">
        <f t="array" ref="D7">IFERROR(_xlfn.XLOOKUP(B7&amp;$D$6,'Loan Quote Source'!$W:$W&amp;'Loan Quote Source'!$N:$N,'Loan Quote Source'!$N:$N),0)</f>
        <v>0</v>
      </c>
      <c r="E7" s="19">
        <f>SUMIFS('Loan Quote Source'!$E:$E,'Loan Quote Source'!$W:$W,Summary!$B7,'Loan Quote Source'!$N:$N,Summary!$C7)+SUMIFS('Loan Quote Source'!$E:$E,'Loan Quote Source'!$W:$W,Summary!$B7,'Loan Quote Source'!$N:$N,Summary!$D7)</f>
        <v>0</v>
      </c>
      <c r="F7" s="19">
        <f>SUMIFS('Loan Quote Source'!$F:$F,'Loan Quote Source'!$W:$W,Summary!$B7,'Loan Quote Source'!$N:$N,Summary!$C7)+SUMIFS('Loan Quote Source'!$F:$F,'Loan Quote Source'!$W:$W,Summary!$B7,'Loan Quote Source'!$N:$N,Summary!$D7)</f>
        <v>0</v>
      </c>
      <c r="G7" s="102">
        <f>E7+F7</f>
        <v>0</v>
      </c>
      <c r="I7" s="130"/>
    </row>
    <row r="8" spans="2:9">
      <c r="B8" s="101">
        <f>B7+1</f>
        <v>2026</v>
      </c>
      <c r="C8" s="105" cm="1">
        <f t="array" ref="C8">IFERROR(_xlfn.XLOOKUP(B8&amp;$C$6,'Loan Quote Source'!W:W&amp;'Loan Quote Source'!N:N,'Loan Quote Source'!N:N),0)</f>
        <v>0</v>
      </c>
      <c r="D8" s="105" t="str" cm="1">
        <f t="array" ref="D8">IFERROR(_xlfn.XLOOKUP(B8&amp;$D$6,'Loan Quote Source'!$W:$W&amp;'Loan Quote Source'!$N:$N,'Loan Quote Source'!$N:$N),0)</f>
        <v>December 15</v>
      </c>
      <c r="E8" s="19">
        <f>SUMIFS('Loan Quote Source'!$E:$E,'Loan Quote Source'!$W:$W,Summary!$B8,'Loan Quote Source'!$N:$N,Summary!$C8)+SUMIFS('Loan Quote Source'!$E:$E,'Loan Quote Source'!$W:$W,Summary!$B8,'Loan Quote Source'!$N:$N,Summary!$D8)</f>
        <v>21640.14</v>
      </c>
      <c r="F8" s="19">
        <f>SUMIFS('Loan Quote Source'!$F:$F,'Loan Quote Source'!$W:$W,Summary!$B8,'Loan Quote Source'!$N:$N,Summary!$C8)+SUMIFS('Loan Quote Source'!$F:$F,'Loan Quote Source'!$W:$W,Summary!$B8,'Loan Quote Source'!$N:$N,Summary!$D8)</f>
        <v>5900.0087726577167</v>
      </c>
      <c r="G8" s="102">
        <f t="shared" ref="G8:G14" si="0">E8+F8</f>
        <v>27540.148772657718</v>
      </c>
      <c r="I8" s="130"/>
    </row>
    <row r="9" spans="2:9">
      <c r="B9" s="101">
        <f t="shared" ref="B9:B14" si="1">B8+1</f>
        <v>2027</v>
      </c>
      <c r="C9" s="105" cm="1">
        <f t="array" ref="C9">IFERROR(_xlfn.XLOOKUP(B9&amp;$C$6,'Loan Quote Source'!W:W&amp;'Loan Quote Source'!N:N,'Loan Quote Source'!N:N),0)</f>
        <v>0</v>
      </c>
      <c r="D9" s="105" t="str" cm="1">
        <f t="array" ref="D9">IFERROR(_xlfn.XLOOKUP(B9&amp;$D$6,'Loan Quote Source'!$W:$W&amp;'Loan Quote Source'!$N:$N,'Loan Quote Source'!$N:$N),0)</f>
        <v>December 15</v>
      </c>
      <c r="E9" s="19">
        <f>SUMIFS('Loan Quote Source'!$E:$E,'Loan Quote Source'!$W:$W,Summary!$B9,'Loan Quote Source'!$N:$N,Summary!$C9)+SUMIFS('Loan Quote Source'!$E:$E,'Loan Quote Source'!$W:$W,Summary!$B9,'Loan Quote Source'!$N:$N,Summary!$D9)</f>
        <v>21640.15</v>
      </c>
      <c r="F9" s="19">
        <f>SUMIFS('Loan Quote Source'!$F:$F,'Loan Quote Source'!$W:$W,Summary!$B9,'Loan Quote Source'!$N:$N,Summary!$C9)+SUMIFS('Loan Quote Source'!$F:$F,'Loan Quote Source'!$W:$W,Summary!$B9,'Loan Quote Source'!$N:$N,Summary!$D9)</f>
        <v>4746.7114044924074</v>
      </c>
      <c r="G9" s="102">
        <f t="shared" si="0"/>
        <v>26386.861404492411</v>
      </c>
      <c r="I9" s="32"/>
    </row>
    <row r="10" spans="2:9">
      <c r="B10" s="101">
        <f t="shared" si="1"/>
        <v>2028</v>
      </c>
      <c r="C10" s="105" cm="1">
        <f t="array" ref="C10">IFERROR(_xlfn.XLOOKUP(B10&amp;$C$6,'Loan Quote Source'!W:W&amp;'Loan Quote Source'!N:N,'Loan Quote Source'!N:N),0)</f>
        <v>0</v>
      </c>
      <c r="D10" s="105" t="str" cm="1">
        <f t="array" ref="D10">IFERROR(_xlfn.XLOOKUP(B10&amp;$D$6,'Loan Quote Source'!$W:$W&amp;'Loan Quote Source'!$N:$N,'Loan Quote Source'!$N:$N),0)</f>
        <v>December 15</v>
      </c>
      <c r="E10" s="19">
        <f>SUMIFS('Loan Quote Source'!$E:$E,'Loan Quote Source'!$W:$W,Summary!$B10,'Loan Quote Source'!$N:$N,Summary!$C10)+SUMIFS('Loan Quote Source'!$E:$E,'Loan Quote Source'!$W:$W,Summary!$B10,'Loan Quote Source'!$N:$N,Summary!$D10)</f>
        <v>21637.98</v>
      </c>
      <c r="F10" s="19">
        <f>SUMIFS('Loan Quote Source'!$F:$F,'Loan Quote Source'!$W:$W,Summary!$B10,'Loan Quote Source'!$N:$N,Summary!$C10)+SUMIFS('Loan Quote Source'!$F:$F,'Loan Quote Source'!$W:$W,Summary!$B10,'Loan Quote Source'!$N:$N,Summary!$D10)</f>
        <v>3560.4720176684095</v>
      </c>
      <c r="G10" s="102">
        <f t="shared" si="0"/>
        <v>25198.452017668409</v>
      </c>
    </row>
    <row r="11" spans="2:9">
      <c r="B11" s="101">
        <f t="shared" si="1"/>
        <v>2029</v>
      </c>
      <c r="C11" s="105" cm="1">
        <f t="array" ref="C11">IFERROR(_xlfn.XLOOKUP(B11&amp;$C$6,'Loan Quote Source'!W:W&amp;'Loan Quote Source'!N:N,'Loan Quote Source'!N:N),0)</f>
        <v>0</v>
      </c>
      <c r="D11" s="105" t="str" cm="1">
        <f t="array" ref="D11">IFERROR(_xlfn.XLOOKUP(B11&amp;$D$6,'Loan Quote Source'!$W:$W&amp;'Loan Quote Source'!$N:$N,'Loan Quote Source'!$N:$N),0)</f>
        <v>December 15</v>
      </c>
      <c r="E11" s="19">
        <f>SUMIFS('Loan Quote Source'!$E:$E,'Loan Quote Source'!$W:$W,Summary!$B11,'Loan Quote Source'!$N:$N,Summary!$C11)+SUMIFS('Loan Quote Source'!$E:$E,'Loan Quote Source'!$W:$W,Summary!$B11,'Loan Quote Source'!$N:$N,Summary!$D11)</f>
        <v>21641.23</v>
      </c>
      <c r="F11" s="19">
        <f>SUMIFS('Loan Quote Source'!$F:$F,'Loan Quote Source'!$W:$W,Summary!$B11,'Loan Quote Source'!$N:$N,Summary!$C11)+SUMIFS('Loan Quote Source'!$F:$F,'Loan Quote Source'!$W:$W,Summary!$B11,'Loan Quote Source'!$N:$N,Summary!$D11)</f>
        <v>2373.1822864899586</v>
      </c>
      <c r="G11" s="102">
        <f t="shared" si="0"/>
        <v>24014.412286489958</v>
      </c>
    </row>
    <row r="12" spans="2:9">
      <c r="B12" s="101">
        <f t="shared" si="1"/>
        <v>2030</v>
      </c>
      <c r="C12" s="105" cm="1">
        <f t="array" ref="C12">IFERROR(_xlfn.XLOOKUP(B12&amp;$C$6,'Loan Quote Source'!W:W&amp;'Loan Quote Source'!N:N,'Loan Quote Source'!N:N),0)</f>
        <v>0</v>
      </c>
      <c r="D12" s="105" t="str" cm="1">
        <f t="array" ref="D12">IFERROR(_xlfn.XLOOKUP(B12&amp;$D$6,'Loan Quote Source'!$W:$W&amp;'Loan Quote Source'!$N:$N,'Loan Quote Source'!$N:$N),0)</f>
        <v>December 15</v>
      </c>
      <c r="E12" s="19">
        <f>SUMIFS('Loan Quote Source'!$E:$E,'Loan Quote Source'!$W:$W,Summary!$B12,'Loan Quote Source'!$N:$N,Summary!$C12)+SUMIFS('Loan Quote Source'!$E:$E,'Loan Quote Source'!$W:$W,Summary!$B12,'Loan Quote Source'!$N:$N,Summary!$D12)</f>
        <v>21641.22</v>
      </c>
      <c r="F12" s="19">
        <f>SUMIFS('Loan Quote Source'!$F:$F,'Loan Quote Source'!$W:$W,Summary!$B12,'Loan Quote Source'!$N:$N,Summary!$C12)+SUMIFS('Loan Quote Source'!$F:$F,'Loan Quote Source'!$W:$W,Summary!$B12,'Loan Quote Source'!$N:$N,Summary!$D12)</f>
        <v>1186.736800759998</v>
      </c>
      <c r="G12" s="102">
        <f t="shared" si="0"/>
        <v>22827.956800759999</v>
      </c>
    </row>
    <row r="13" spans="2:9">
      <c r="B13" s="101">
        <f t="shared" si="1"/>
        <v>2031</v>
      </c>
      <c r="C13" s="105" cm="1">
        <f t="array" ref="C13">IFERROR(_xlfn.XLOOKUP(B13&amp;$C$6,'Loan Quote Source'!W:W&amp;'Loan Quote Source'!N:N,'Loan Quote Source'!N:N),0)</f>
        <v>0</v>
      </c>
      <c r="D13" s="105" cm="1">
        <f t="array" ref="D13">IFERROR(_xlfn.XLOOKUP(B13&amp;$D$6,'Loan Quote Source'!$W:$W&amp;'Loan Quote Source'!$N:$N,'Loan Quote Source'!$N:$N),0)</f>
        <v>0</v>
      </c>
      <c r="E13" s="19">
        <f>SUMIFS('Loan Quote Source'!$E:$E,'Loan Quote Source'!$W:$W,Summary!$B13,'Loan Quote Source'!$N:$N,Summary!$C13)+SUMIFS('Loan Quote Source'!$E:$E,'Loan Quote Source'!$W:$W,Summary!$B13,'Loan Quote Source'!$N:$N,Summary!$D13)</f>
        <v>0</v>
      </c>
      <c r="F13" s="19">
        <f>SUMIFS('Loan Quote Source'!$F:$F,'Loan Quote Source'!$W:$W,Summary!$B13,'Loan Quote Source'!$N:$N,Summary!$C13)+SUMIFS('Loan Quote Source'!$F:$F,'Loan Quote Source'!$W:$W,Summary!$B13,'Loan Quote Source'!$N:$N,Summary!$D13)</f>
        <v>0</v>
      </c>
      <c r="G13" s="102">
        <f t="shared" si="0"/>
        <v>0</v>
      </c>
    </row>
    <row r="14" spans="2:9">
      <c r="B14" s="101">
        <f t="shared" si="1"/>
        <v>2032</v>
      </c>
      <c r="C14" s="105" cm="1">
        <f t="array" ref="C14">IFERROR(_xlfn.XLOOKUP(B14&amp;$C$6,'Loan Quote Source'!W:W&amp;'Loan Quote Source'!N:N,'Loan Quote Source'!N:N),0)</f>
        <v>0</v>
      </c>
      <c r="D14" s="105" cm="1">
        <f t="array" ref="D14">IFERROR(_xlfn.XLOOKUP(B14&amp;$D$6,'Loan Quote Source'!$W:$W&amp;'Loan Quote Source'!$N:$N,'Loan Quote Source'!$N:$N),0)</f>
        <v>0</v>
      </c>
      <c r="E14" s="19">
        <f>SUMIFS('Loan Quote Source'!$E:$E,'Loan Quote Source'!$W:$W,Summary!$B14,'Loan Quote Source'!$N:$N,Summary!$C14)+SUMIFS('Loan Quote Source'!$E:$E,'Loan Quote Source'!$W:$W,Summary!$B14,'Loan Quote Source'!$N:$N,Summary!$D14)</f>
        <v>0</v>
      </c>
      <c r="F14" s="19">
        <f>SUMIFS('Loan Quote Source'!$F:$F,'Loan Quote Source'!$W:$W,Summary!$B14,'Loan Quote Source'!$N:$N,Summary!$C14)+SUMIFS('Loan Quote Source'!$F:$F,'Loan Quote Source'!$W:$W,Summary!$B14,'Loan Quote Source'!$N:$N,Summary!$D14)</f>
        <v>0</v>
      </c>
      <c r="G14" s="102">
        <f t="shared" si="0"/>
        <v>0</v>
      </c>
    </row>
    <row r="15" spans="2:9">
      <c r="B15" s="101"/>
      <c r="C15" s="106"/>
      <c r="D15" s="106"/>
      <c r="E15" s="101"/>
      <c r="F15" s="101"/>
      <c r="G15" s="101"/>
    </row>
    <row r="17" spans="4:7">
      <c r="D17" t="s">
        <v>71</v>
      </c>
      <c r="E17" s="100">
        <f>SUM(E7:E14)</f>
        <v>108200.72</v>
      </c>
      <c r="F17" s="100">
        <f>SUM(F7:F14)</f>
        <v>17767.11128206849</v>
      </c>
      <c r="G17" s="100">
        <f>SUM(G7:G14)</f>
        <v>125967.8312820685</v>
      </c>
    </row>
  </sheetData>
  <mergeCells count="1">
    <mergeCell ref="C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6D83-64C3-465B-A0FD-54AF179A5FCB}">
  <dimension ref="A1:W159"/>
  <sheetViews>
    <sheetView topLeftCell="B1" workbookViewId="0">
      <selection activeCell="B13" sqref="B13"/>
    </sheetView>
  </sheetViews>
  <sheetFormatPr defaultRowHeight="14.5"/>
  <cols>
    <col min="2" max="2" width="73.1796875" customWidth="1"/>
    <col min="3" max="3" width="19.81640625" customWidth="1"/>
    <col min="4" max="4" width="12.1796875" customWidth="1"/>
    <col min="8" max="8" width="11.1796875" customWidth="1"/>
    <col min="9" max="9" width="10.26953125" bestFit="1" customWidth="1"/>
    <col min="14" max="14" width="12.54296875" customWidth="1"/>
    <col min="15" max="15" width="13.453125" customWidth="1"/>
    <col min="18" max="19" width="12" customWidth="1"/>
    <col min="20" max="20" width="10.81640625" bestFit="1" customWidth="1"/>
    <col min="21" max="21" width="16.54296875" customWidth="1"/>
  </cols>
  <sheetData>
    <row r="1" spans="1:23">
      <c r="A1" s="3" t="s">
        <v>4</v>
      </c>
      <c r="C1" t="s">
        <v>4</v>
      </c>
      <c r="E1" t="s">
        <v>5</v>
      </c>
      <c r="F1" t="s">
        <v>22</v>
      </c>
      <c r="N1">
        <f>IF('Loan Quote '!C8="Yes",72,60)</f>
        <v>60</v>
      </c>
      <c r="O1">
        <f>IF('Loan Quote '!C8="Yes",36,24)</f>
        <v>24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</row>
    <row r="2" spans="1:23">
      <c r="A2" s="1">
        <v>1</v>
      </c>
      <c r="B2" s="2" t="s">
        <v>0</v>
      </c>
      <c r="C2" s="5">
        <v>45823</v>
      </c>
      <c r="D2" s="5" t="str">
        <f>TEXT(C2,"mmmm")&amp;" "&amp;TEXT(C2,"DD")</f>
        <v>June 15</v>
      </c>
      <c r="E2" s="1" t="s">
        <v>6</v>
      </c>
      <c r="F2">
        <v>5</v>
      </c>
      <c r="H2" s="27">
        <f>'Loan Quote Source'!C6</f>
        <v>46009</v>
      </c>
      <c r="I2" s="27">
        <f>EOMONTH(H2,0)</f>
        <v>46022</v>
      </c>
      <c r="K2">
        <f>YEAR(H2)</f>
        <v>2025</v>
      </c>
      <c r="N2" s="27">
        <f>EDATE(I2, N1)</f>
        <v>47848</v>
      </c>
      <c r="O2" s="27">
        <f>EDATE(I2, O1)</f>
        <v>46752</v>
      </c>
      <c r="P2">
        <f>IF(I2&lt;=$N$2,1,0)</f>
        <v>1</v>
      </c>
      <c r="Q2">
        <f>IF(I2&lt;=$O$2,1,0)</f>
        <v>1</v>
      </c>
      <c r="R2" s="27">
        <f>IF(H2*P2=0,"-",H2*P2)</f>
        <v>46009</v>
      </c>
      <c r="S2" s="27">
        <f>IF(I2*P2=0,"-",I2*P2)</f>
        <v>46022</v>
      </c>
      <c r="T2" s="27">
        <f>IF(H2*Q2=0,"-",H2*Q2)</f>
        <v>46009</v>
      </c>
      <c r="U2" s="27">
        <f>IF(I2*Q2=0,"-",I2*Q2)</f>
        <v>46022</v>
      </c>
      <c r="W2" t="s">
        <v>58</v>
      </c>
    </row>
    <row r="3" spans="1:23">
      <c r="A3" s="1">
        <v>2</v>
      </c>
      <c r="B3" s="2" t="s">
        <v>94</v>
      </c>
      <c r="C3" s="5">
        <v>45823</v>
      </c>
      <c r="D3" s="5" t="str">
        <f t="shared" ref="D3:D7" si="0">TEXT(C3,"mmmm")&amp;" "&amp;TEXT(C3,"DD")</f>
        <v>June 15</v>
      </c>
      <c r="E3" s="1" t="s">
        <v>6</v>
      </c>
      <c r="F3">
        <v>2</v>
      </c>
      <c r="H3" s="27">
        <f>I2+1</f>
        <v>46023</v>
      </c>
      <c r="I3" s="27">
        <f>EOMONTH(H3,0)</f>
        <v>46053</v>
      </c>
      <c r="K3">
        <f t="shared" ref="K3:K56" si="1">YEAR(H3)</f>
        <v>2026</v>
      </c>
      <c r="P3">
        <f t="shared" ref="P3:P66" si="2">IF(I3&lt;=$N$2,1,0)</f>
        <v>1</v>
      </c>
      <c r="Q3">
        <f t="shared" ref="Q3:Q66" si="3">IF(I3&lt;=$O$2,1,0)</f>
        <v>1</v>
      </c>
      <c r="R3" s="27">
        <f t="shared" ref="R3:R66" si="4">IF(H3*P3=0,"-",H3*P3)</f>
        <v>46023</v>
      </c>
      <c r="S3" s="27">
        <f t="shared" ref="S3:S66" si="5">IF(I3*P3=0,"-",I3*P3)</f>
        <v>46053</v>
      </c>
      <c r="T3" s="27">
        <f t="shared" ref="T3:T66" si="6">IF(H3*Q3=0,"-",H3*Q3)</f>
        <v>46023</v>
      </c>
      <c r="U3" s="27">
        <f t="shared" ref="U3:U66" si="7">IF(I3*Q3=0,"-",I3*Q3)</f>
        <v>46053</v>
      </c>
      <c r="W3" t="s">
        <v>59</v>
      </c>
    </row>
    <row r="4" spans="1:23">
      <c r="A4" s="1">
        <v>3</v>
      </c>
      <c r="B4" s="2" t="s">
        <v>1</v>
      </c>
      <c r="C4" s="5">
        <v>45823</v>
      </c>
      <c r="D4" s="5" t="str">
        <f t="shared" si="0"/>
        <v>June 15</v>
      </c>
      <c r="E4" s="1" t="s">
        <v>6</v>
      </c>
      <c r="F4">
        <v>5</v>
      </c>
      <c r="H4" s="27">
        <f t="shared" ref="H4:H67" si="8">I3+1</f>
        <v>46054</v>
      </c>
      <c r="I4" s="27">
        <f t="shared" ref="I4:I67" si="9">EOMONTH(H4,0)</f>
        <v>46081</v>
      </c>
      <c r="K4">
        <f t="shared" si="1"/>
        <v>2026</v>
      </c>
      <c r="P4">
        <f t="shared" si="2"/>
        <v>1</v>
      </c>
      <c r="Q4">
        <f t="shared" si="3"/>
        <v>1</v>
      </c>
      <c r="R4" s="27">
        <f t="shared" si="4"/>
        <v>46054</v>
      </c>
      <c r="S4" s="27">
        <f t="shared" si="5"/>
        <v>46081</v>
      </c>
      <c r="T4" s="27">
        <f t="shared" si="6"/>
        <v>46054</v>
      </c>
      <c r="U4" s="27">
        <f t="shared" si="7"/>
        <v>46081</v>
      </c>
    </row>
    <row r="5" spans="1:23">
      <c r="A5" s="1">
        <v>4</v>
      </c>
      <c r="B5" s="2" t="s">
        <v>93</v>
      </c>
      <c r="C5" s="5">
        <v>46006</v>
      </c>
      <c r="D5" s="5" t="str">
        <f t="shared" si="0"/>
        <v>December 15</v>
      </c>
      <c r="E5" s="1" t="s">
        <v>7</v>
      </c>
      <c r="F5">
        <v>2</v>
      </c>
      <c r="H5" s="27">
        <f t="shared" si="8"/>
        <v>46082</v>
      </c>
      <c r="I5" s="27">
        <f t="shared" si="9"/>
        <v>46112</v>
      </c>
      <c r="K5">
        <f t="shared" si="1"/>
        <v>2026</v>
      </c>
      <c r="N5" t="s">
        <v>62</v>
      </c>
      <c r="O5" t="s">
        <v>63</v>
      </c>
      <c r="P5">
        <f t="shared" si="2"/>
        <v>1</v>
      </c>
      <c r="Q5">
        <f t="shared" si="3"/>
        <v>1</v>
      </c>
      <c r="R5" s="27">
        <f t="shared" si="4"/>
        <v>46082</v>
      </c>
      <c r="S5" s="27">
        <f t="shared" si="5"/>
        <v>46112</v>
      </c>
      <c r="T5" s="27">
        <f t="shared" si="6"/>
        <v>46082</v>
      </c>
      <c r="U5" s="27">
        <f t="shared" si="7"/>
        <v>46112</v>
      </c>
    </row>
    <row r="6" spans="1:23">
      <c r="A6" s="1">
        <v>5</v>
      </c>
      <c r="B6" s="2" t="s">
        <v>2</v>
      </c>
      <c r="C6" s="5">
        <v>46006</v>
      </c>
      <c r="D6" s="5" t="str">
        <f t="shared" si="0"/>
        <v>December 15</v>
      </c>
      <c r="E6" s="1" t="s">
        <v>7</v>
      </c>
      <c r="F6">
        <v>5</v>
      </c>
      <c r="H6" s="27">
        <f t="shared" si="8"/>
        <v>46113</v>
      </c>
      <c r="I6" s="27">
        <f t="shared" si="9"/>
        <v>46142</v>
      </c>
      <c r="K6">
        <f t="shared" si="1"/>
        <v>2026</v>
      </c>
      <c r="P6">
        <f t="shared" si="2"/>
        <v>1</v>
      </c>
      <c r="Q6">
        <f t="shared" si="3"/>
        <v>1</v>
      </c>
      <c r="R6" s="27">
        <f t="shared" si="4"/>
        <v>46113</v>
      </c>
      <c r="S6" s="27">
        <f t="shared" si="5"/>
        <v>46142</v>
      </c>
      <c r="T6" s="27">
        <f t="shared" si="6"/>
        <v>46113</v>
      </c>
      <c r="U6" s="27">
        <f t="shared" si="7"/>
        <v>46142</v>
      </c>
    </row>
    <row r="7" spans="1:23">
      <c r="A7" s="1">
        <v>6</v>
      </c>
      <c r="B7" s="2" t="s">
        <v>3</v>
      </c>
      <c r="C7" s="5">
        <v>46006</v>
      </c>
      <c r="D7" s="5" t="str">
        <f t="shared" si="0"/>
        <v>December 15</v>
      </c>
      <c r="E7" s="1" t="s">
        <v>7</v>
      </c>
      <c r="F7">
        <v>5</v>
      </c>
      <c r="H7" s="27">
        <f t="shared" si="8"/>
        <v>46143</v>
      </c>
      <c r="I7" s="27">
        <f t="shared" si="9"/>
        <v>46173</v>
      </c>
      <c r="K7">
        <f t="shared" si="1"/>
        <v>2026</v>
      </c>
      <c r="P7">
        <f t="shared" si="2"/>
        <v>1</v>
      </c>
      <c r="Q7">
        <f t="shared" si="3"/>
        <v>1</v>
      </c>
      <c r="R7" s="27">
        <f t="shared" si="4"/>
        <v>46143</v>
      </c>
      <c r="S7" s="27">
        <f t="shared" si="5"/>
        <v>46173</v>
      </c>
      <c r="T7" s="27">
        <f t="shared" si="6"/>
        <v>46143</v>
      </c>
      <c r="U7" s="27">
        <f t="shared" si="7"/>
        <v>46173</v>
      </c>
    </row>
    <row r="8" spans="1:23">
      <c r="A8" s="1">
        <v>7</v>
      </c>
      <c r="B8" t="s">
        <v>89</v>
      </c>
      <c r="C8" s="5">
        <v>45823</v>
      </c>
      <c r="D8" s="5" t="str">
        <f t="shared" ref="D8:D9" si="10">TEXT(C8,"mmmm")&amp;" "&amp;TEXT(C8,"DD")</f>
        <v>June 15</v>
      </c>
      <c r="E8" s="1" t="s">
        <v>6</v>
      </c>
      <c r="F8">
        <v>2</v>
      </c>
      <c r="H8" s="27">
        <f t="shared" si="8"/>
        <v>46174</v>
      </c>
      <c r="I8" s="27">
        <f t="shared" si="9"/>
        <v>46203</v>
      </c>
      <c r="K8">
        <f t="shared" si="1"/>
        <v>2026</v>
      </c>
      <c r="P8">
        <f t="shared" si="2"/>
        <v>1</v>
      </c>
      <c r="Q8">
        <f t="shared" si="3"/>
        <v>1</v>
      </c>
      <c r="R8" s="27">
        <f t="shared" si="4"/>
        <v>46174</v>
      </c>
      <c r="S8" s="27">
        <f t="shared" si="5"/>
        <v>46203</v>
      </c>
      <c r="T8" s="27">
        <f t="shared" si="6"/>
        <v>46174</v>
      </c>
      <c r="U8" s="27">
        <f t="shared" si="7"/>
        <v>46203</v>
      </c>
    </row>
    <row r="9" spans="1:23">
      <c r="A9" s="1">
        <v>8</v>
      </c>
      <c r="B9" t="s">
        <v>90</v>
      </c>
      <c r="C9" s="5">
        <v>46006</v>
      </c>
      <c r="D9" s="5" t="str">
        <f t="shared" si="10"/>
        <v>December 15</v>
      </c>
      <c r="E9" s="1" t="s">
        <v>7</v>
      </c>
      <c r="F9">
        <v>2</v>
      </c>
      <c r="H9" s="27">
        <f>I8+1</f>
        <v>46204</v>
      </c>
      <c r="I9" s="27">
        <f t="shared" si="9"/>
        <v>46234</v>
      </c>
      <c r="K9">
        <f t="shared" si="1"/>
        <v>2026</v>
      </c>
      <c r="P9">
        <f t="shared" si="2"/>
        <v>1</v>
      </c>
      <c r="Q9">
        <f t="shared" si="3"/>
        <v>1</v>
      </c>
      <c r="R9" s="27">
        <f t="shared" si="4"/>
        <v>46204</v>
      </c>
      <c r="S9" s="27">
        <f t="shared" si="5"/>
        <v>46234</v>
      </c>
      <c r="T9" s="27">
        <f t="shared" si="6"/>
        <v>46204</v>
      </c>
      <c r="U9" s="27">
        <f t="shared" si="7"/>
        <v>46234</v>
      </c>
    </row>
    <row r="10" spans="1:23">
      <c r="A10" s="1">
        <v>9</v>
      </c>
      <c r="B10" s="2" t="s">
        <v>91</v>
      </c>
      <c r="C10" s="5">
        <v>45823</v>
      </c>
      <c r="D10" s="5" t="str">
        <f t="shared" ref="D10:D11" si="11">TEXT(C10,"mmmm")&amp;" "&amp;TEXT(C10,"DD")</f>
        <v>June 15</v>
      </c>
      <c r="E10" s="1" t="s">
        <v>6</v>
      </c>
      <c r="F10">
        <v>2</v>
      </c>
      <c r="H10" s="27">
        <f t="shared" si="8"/>
        <v>46235</v>
      </c>
      <c r="I10" s="27">
        <f t="shared" si="9"/>
        <v>46265</v>
      </c>
      <c r="K10">
        <f t="shared" si="1"/>
        <v>2026</v>
      </c>
      <c r="P10">
        <f t="shared" si="2"/>
        <v>1</v>
      </c>
      <c r="Q10">
        <f t="shared" si="3"/>
        <v>1</v>
      </c>
      <c r="R10" s="27">
        <f t="shared" si="4"/>
        <v>46235</v>
      </c>
      <c r="S10" s="27">
        <f t="shared" si="5"/>
        <v>46265</v>
      </c>
      <c r="T10" s="27">
        <f t="shared" si="6"/>
        <v>46235</v>
      </c>
      <c r="U10" s="27">
        <f t="shared" si="7"/>
        <v>46265</v>
      </c>
    </row>
    <row r="11" spans="1:23">
      <c r="A11" s="1">
        <v>10</v>
      </c>
      <c r="B11" s="2" t="s">
        <v>92</v>
      </c>
      <c r="C11" s="5">
        <v>46006</v>
      </c>
      <c r="D11" s="5" t="str">
        <f t="shared" si="11"/>
        <v>December 15</v>
      </c>
      <c r="E11" s="1" t="s">
        <v>7</v>
      </c>
      <c r="F11">
        <v>2</v>
      </c>
      <c r="H11" s="27">
        <f t="shared" si="8"/>
        <v>46266</v>
      </c>
      <c r="I11" s="27">
        <f t="shared" si="9"/>
        <v>46295</v>
      </c>
      <c r="K11">
        <f t="shared" si="1"/>
        <v>2026</v>
      </c>
      <c r="P11">
        <f t="shared" si="2"/>
        <v>1</v>
      </c>
      <c r="Q11">
        <f t="shared" si="3"/>
        <v>1</v>
      </c>
      <c r="R11" s="27">
        <f t="shared" si="4"/>
        <v>46266</v>
      </c>
      <c r="S11" s="27">
        <f t="shared" si="5"/>
        <v>46295</v>
      </c>
      <c r="T11" s="27">
        <f t="shared" si="6"/>
        <v>46266</v>
      </c>
      <c r="U11" s="27">
        <f t="shared" si="7"/>
        <v>46295</v>
      </c>
    </row>
    <row r="12" spans="1:23">
      <c r="A12" s="4"/>
      <c r="B12" s="2"/>
      <c r="H12" s="27">
        <f t="shared" si="8"/>
        <v>46296</v>
      </c>
      <c r="I12" s="27">
        <f t="shared" si="9"/>
        <v>46326</v>
      </c>
      <c r="K12">
        <f t="shared" si="1"/>
        <v>2026</v>
      </c>
      <c r="P12">
        <f t="shared" si="2"/>
        <v>1</v>
      </c>
      <c r="Q12">
        <f t="shared" si="3"/>
        <v>1</v>
      </c>
      <c r="R12" s="27">
        <f t="shared" si="4"/>
        <v>46296</v>
      </c>
      <c r="S12" s="27">
        <f t="shared" si="5"/>
        <v>46326</v>
      </c>
      <c r="T12" s="27">
        <f t="shared" si="6"/>
        <v>46296</v>
      </c>
      <c r="U12" s="27">
        <f t="shared" si="7"/>
        <v>46326</v>
      </c>
    </row>
    <row r="13" spans="1:23">
      <c r="H13" s="27">
        <f t="shared" si="8"/>
        <v>46327</v>
      </c>
      <c r="I13" s="27">
        <f t="shared" si="9"/>
        <v>46356</v>
      </c>
      <c r="K13">
        <f t="shared" si="1"/>
        <v>2026</v>
      </c>
      <c r="P13">
        <f t="shared" si="2"/>
        <v>1</v>
      </c>
      <c r="Q13">
        <f t="shared" si="3"/>
        <v>1</v>
      </c>
      <c r="R13" s="27">
        <f t="shared" si="4"/>
        <v>46327</v>
      </c>
      <c r="S13" s="27">
        <f t="shared" si="5"/>
        <v>46356</v>
      </c>
      <c r="T13" s="27">
        <f t="shared" si="6"/>
        <v>46327</v>
      </c>
      <c r="U13" s="27">
        <f t="shared" si="7"/>
        <v>46356</v>
      </c>
    </row>
    <row r="14" spans="1:23">
      <c r="H14" s="27">
        <f t="shared" si="8"/>
        <v>46357</v>
      </c>
      <c r="I14" s="27">
        <f t="shared" si="9"/>
        <v>46387</v>
      </c>
      <c r="K14">
        <f t="shared" si="1"/>
        <v>2026</v>
      </c>
      <c r="P14">
        <f t="shared" si="2"/>
        <v>1</v>
      </c>
      <c r="Q14">
        <f t="shared" si="3"/>
        <v>1</v>
      </c>
      <c r="R14" s="27">
        <f t="shared" si="4"/>
        <v>46357</v>
      </c>
      <c r="S14" s="27">
        <f t="shared" si="5"/>
        <v>46387</v>
      </c>
      <c r="T14" s="27">
        <f t="shared" si="6"/>
        <v>46357</v>
      </c>
      <c r="U14" s="27">
        <f t="shared" si="7"/>
        <v>46387</v>
      </c>
    </row>
    <row r="15" spans="1:23">
      <c r="H15" s="27">
        <f t="shared" si="8"/>
        <v>46388</v>
      </c>
      <c r="I15" s="27">
        <f t="shared" si="9"/>
        <v>46418</v>
      </c>
      <c r="K15">
        <f t="shared" si="1"/>
        <v>2027</v>
      </c>
      <c r="P15">
        <f t="shared" si="2"/>
        <v>1</v>
      </c>
      <c r="Q15">
        <f t="shared" si="3"/>
        <v>1</v>
      </c>
      <c r="R15" s="27">
        <f t="shared" si="4"/>
        <v>46388</v>
      </c>
      <c r="S15" s="27">
        <f t="shared" si="5"/>
        <v>46418</v>
      </c>
      <c r="T15" s="27">
        <f t="shared" si="6"/>
        <v>46388</v>
      </c>
      <c r="U15" s="27">
        <f t="shared" si="7"/>
        <v>46418</v>
      </c>
    </row>
    <row r="16" spans="1:23">
      <c r="H16" s="27">
        <f t="shared" si="8"/>
        <v>46419</v>
      </c>
      <c r="I16" s="27">
        <f t="shared" si="9"/>
        <v>46446</v>
      </c>
      <c r="K16">
        <f t="shared" si="1"/>
        <v>2027</v>
      </c>
      <c r="P16">
        <f t="shared" si="2"/>
        <v>1</v>
      </c>
      <c r="Q16">
        <f t="shared" si="3"/>
        <v>1</v>
      </c>
      <c r="R16" s="27">
        <f t="shared" si="4"/>
        <v>46419</v>
      </c>
      <c r="S16" s="27">
        <f t="shared" si="5"/>
        <v>46446</v>
      </c>
      <c r="T16" s="27">
        <f t="shared" si="6"/>
        <v>46419</v>
      </c>
      <c r="U16" s="27">
        <f t="shared" si="7"/>
        <v>46446</v>
      </c>
    </row>
    <row r="17" spans="8:22">
      <c r="H17" s="27">
        <f t="shared" si="8"/>
        <v>46447</v>
      </c>
      <c r="I17" s="27">
        <f t="shared" si="9"/>
        <v>46477</v>
      </c>
      <c r="K17">
        <f t="shared" si="1"/>
        <v>2027</v>
      </c>
      <c r="P17">
        <f t="shared" si="2"/>
        <v>1</v>
      </c>
      <c r="Q17">
        <f t="shared" si="3"/>
        <v>1</v>
      </c>
      <c r="R17" s="27">
        <f t="shared" si="4"/>
        <v>46447</v>
      </c>
      <c r="S17" s="27">
        <f t="shared" si="5"/>
        <v>46477</v>
      </c>
      <c r="T17" s="27">
        <f t="shared" si="6"/>
        <v>46447</v>
      </c>
      <c r="U17" s="27">
        <f t="shared" si="7"/>
        <v>46477</v>
      </c>
    </row>
    <row r="18" spans="8:22">
      <c r="H18" s="27">
        <f t="shared" si="8"/>
        <v>46478</v>
      </c>
      <c r="I18" s="27">
        <f t="shared" si="9"/>
        <v>46507</v>
      </c>
      <c r="K18">
        <f t="shared" si="1"/>
        <v>2027</v>
      </c>
      <c r="P18">
        <f t="shared" si="2"/>
        <v>1</v>
      </c>
      <c r="Q18">
        <f t="shared" si="3"/>
        <v>1</v>
      </c>
      <c r="R18" s="27">
        <f t="shared" si="4"/>
        <v>46478</v>
      </c>
      <c r="S18" s="27">
        <f t="shared" si="5"/>
        <v>46507</v>
      </c>
      <c r="T18" s="27">
        <f t="shared" si="6"/>
        <v>46478</v>
      </c>
      <c r="U18" s="27">
        <f t="shared" si="7"/>
        <v>46507</v>
      </c>
    </row>
    <row r="19" spans="8:22">
      <c r="H19" s="27">
        <f t="shared" si="8"/>
        <v>46508</v>
      </c>
      <c r="I19" s="27">
        <f t="shared" si="9"/>
        <v>46538</v>
      </c>
      <c r="K19">
        <f t="shared" si="1"/>
        <v>2027</v>
      </c>
      <c r="P19">
        <f t="shared" si="2"/>
        <v>1</v>
      </c>
      <c r="Q19">
        <f t="shared" si="3"/>
        <v>1</v>
      </c>
      <c r="R19" s="27">
        <f t="shared" si="4"/>
        <v>46508</v>
      </c>
      <c r="S19" s="27">
        <f t="shared" si="5"/>
        <v>46538</v>
      </c>
      <c r="T19" s="27">
        <f t="shared" si="6"/>
        <v>46508</v>
      </c>
      <c r="U19" s="27">
        <f t="shared" si="7"/>
        <v>46538</v>
      </c>
    </row>
    <row r="20" spans="8:22">
      <c r="H20" s="27">
        <f t="shared" si="8"/>
        <v>46539</v>
      </c>
      <c r="I20" s="27">
        <f t="shared" si="9"/>
        <v>46568</v>
      </c>
      <c r="K20">
        <f t="shared" si="1"/>
        <v>2027</v>
      </c>
      <c r="P20">
        <f t="shared" si="2"/>
        <v>1</v>
      </c>
      <c r="Q20">
        <f t="shared" si="3"/>
        <v>1</v>
      </c>
      <c r="R20" s="27">
        <f t="shared" si="4"/>
        <v>46539</v>
      </c>
      <c r="S20" s="27">
        <f t="shared" si="5"/>
        <v>46568</v>
      </c>
      <c r="T20" s="27">
        <f t="shared" si="6"/>
        <v>46539</v>
      </c>
      <c r="U20" s="27">
        <f t="shared" si="7"/>
        <v>46568</v>
      </c>
    </row>
    <row r="21" spans="8:22">
      <c r="H21" s="27">
        <f t="shared" si="8"/>
        <v>46569</v>
      </c>
      <c r="I21" s="27">
        <f t="shared" si="9"/>
        <v>46599</v>
      </c>
      <c r="K21">
        <f t="shared" si="1"/>
        <v>2027</v>
      </c>
      <c r="P21">
        <f t="shared" si="2"/>
        <v>1</v>
      </c>
      <c r="Q21">
        <f t="shared" si="3"/>
        <v>1</v>
      </c>
      <c r="R21" s="27">
        <f t="shared" si="4"/>
        <v>46569</v>
      </c>
      <c r="S21" s="27">
        <f t="shared" si="5"/>
        <v>46599</v>
      </c>
      <c r="T21" s="27">
        <f t="shared" si="6"/>
        <v>46569</v>
      </c>
      <c r="U21" s="27">
        <f t="shared" si="7"/>
        <v>46599</v>
      </c>
    </row>
    <row r="22" spans="8:22">
      <c r="H22" s="27">
        <f t="shared" si="8"/>
        <v>46600</v>
      </c>
      <c r="I22" s="27">
        <f t="shared" si="9"/>
        <v>46630</v>
      </c>
      <c r="K22">
        <f t="shared" si="1"/>
        <v>2027</v>
      </c>
      <c r="P22">
        <f t="shared" si="2"/>
        <v>1</v>
      </c>
      <c r="Q22">
        <f t="shared" si="3"/>
        <v>1</v>
      </c>
      <c r="R22" s="27">
        <f t="shared" si="4"/>
        <v>46600</v>
      </c>
      <c r="S22" s="27">
        <f t="shared" si="5"/>
        <v>46630</v>
      </c>
      <c r="T22" s="27">
        <f t="shared" si="6"/>
        <v>46600</v>
      </c>
      <c r="U22" s="27">
        <f t="shared" si="7"/>
        <v>46630</v>
      </c>
    </row>
    <row r="23" spans="8:22">
      <c r="H23" s="27">
        <f t="shared" si="8"/>
        <v>46631</v>
      </c>
      <c r="I23" s="27">
        <f t="shared" si="9"/>
        <v>46660</v>
      </c>
      <c r="K23">
        <f t="shared" si="1"/>
        <v>2027</v>
      </c>
      <c r="P23">
        <f t="shared" si="2"/>
        <v>1</v>
      </c>
      <c r="Q23">
        <f t="shared" si="3"/>
        <v>1</v>
      </c>
      <c r="R23" s="27">
        <f t="shared" si="4"/>
        <v>46631</v>
      </c>
      <c r="S23" s="27">
        <f t="shared" si="5"/>
        <v>46660</v>
      </c>
      <c r="T23" s="27">
        <f t="shared" si="6"/>
        <v>46631</v>
      </c>
      <c r="U23" s="27">
        <f t="shared" si="7"/>
        <v>46660</v>
      </c>
    </row>
    <row r="24" spans="8:22">
      <c r="H24" s="27">
        <f t="shared" si="8"/>
        <v>46661</v>
      </c>
      <c r="I24" s="27">
        <f t="shared" si="9"/>
        <v>46691</v>
      </c>
      <c r="K24">
        <f t="shared" si="1"/>
        <v>2027</v>
      </c>
      <c r="P24">
        <f t="shared" si="2"/>
        <v>1</v>
      </c>
      <c r="Q24">
        <f t="shared" si="3"/>
        <v>1</v>
      </c>
      <c r="R24" s="27">
        <f t="shared" si="4"/>
        <v>46661</v>
      </c>
      <c r="S24" s="27">
        <f t="shared" si="5"/>
        <v>46691</v>
      </c>
      <c r="T24" s="27">
        <f t="shared" si="6"/>
        <v>46661</v>
      </c>
      <c r="U24" s="27">
        <f t="shared" si="7"/>
        <v>46691</v>
      </c>
    </row>
    <row r="25" spans="8:22">
      <c r="H25" s="27">
        <f t="shared" si="8"/>
        <v>46692</v>
      </c>
      <c r="I25" s="27">
        <f t="shared" si="9"/>
        <v>46721</v>
      </c>
      <c r="K25">
        <f t="shared" si="1"/>
        <v>2027</v>
      </c>
      <c r="P25">
        <f t="shared" si="2"/>
        <v>1</v>
      </c>
      <c r="Q25">
        <f t="shared" si="3"/>
        <v>1</v>
      </c>
      <c r="R25" s="27">
        <f t="shared" si="4"/>
        <v>46692</v>
      </c>
      <c r="S25" s="27">
        <f t="shared" si="5"/>
        <v>46721</v>
      </c>
      <c r="T25" s="27">
        <f t="shared" si="6"/>
        <v>46692</v>
      </c>
      <c r="U25" s="27">
        <f t="shared" si="7"/>
        <v>46721</v>
      </c>
    </row>
    <row r="26" spans="8:22">
      <c r="H26" s="27">
        <f t="shared" si="8"/>
        <v>46722</v>
      </c>
      <c r="I26" s="27">
        <f t="shared" si="9"/>
        <v>46752</v>
      </c>
      <c r="K26">
        <f t="shared" si="1"/>
        <v>2027</v>
      </c>
      <c r="P26">
        <f t="shared" si="2"/>
        <v>1</v>
      </c>
      <c r="Q26">
        <f t="shared" si="3"/>
        <v>1</v>
      </c>
      <c r="R26" s="27">
        <f t="shared" si="4"/>
        <v>46722</v>
      </c>
      <c r="S26" s="27">
        <f t="shared" si="5"/>
        <v>46752</v>
      </c>
      <c r="T26" s="27">
        <f t="shared" si="6"/>
        <v>46722</v>
      </c>
      <c r="U26" s="27">
        <f t="shared" si="7"/>
        <v>46752</v>
      </c>
      <c r="V26">
        <v>0</v>
      </c>
    </row>
    <row r="27" spans="8:22">
      <c r="H27" s="27">
        <f t="shared" si="8"/>
        <v>46753</v>
      </c>
      <c r="I27" s="27">
        <f t="shared" si="9"/>
        <v>46783</v>
      </c>
      <c r="K27">
        <f t="shared" si="1"/>
        <v>2028</v>
      </c>
      <c r="P27">
        <f t="shared" si="2"/>
        <v>1</v>
      </c>
      <c r="Q27">
        <f t="shared" si="3"/>
        <v>0</v>
      </c>
      <c r="R27" s="27">
        <f t="shared" si="4"/>
        <v>46753</v>
      </c>
      <c r="S27" s="27">
        <f t="shared" si="5"/>
        <v>46783</v>
      </c>
      <c r="T27" s="27" t="str">
        <f t="shared" si="6"/>
        <v>-</v>
      </c>
      <c r="U27" s="27" t="str">
        <f t="shared" si="7"/>
        <v>-</v>
      </c>
    </row>
    <row r="28" spans="8:22">
      <c r="H28" s="27">
        <f t="shared" si="8"/>
        <v>46784</v>
      </c>
      <c r="I28" s="27">
        <f t="shared" si="9"/>
        <v>46812</v>
      </c>
      <c r="K28">
        <f t="shared" si="1"/>
        <v>2028</v>
      </c>
      <c r="P28">
        <f t="shared" si="2"/>
        <v>1</v>
      </c>
      <c r="Q28">
        <f t="shared" si="3"/>
        <v>0</v>
      </c>
      <c r="R28" s="27">
        <f t="shared" si="4"/>
        <v>46784</v>
      </c>
      <c r="S28" s="27">
        <f t="shared" si="5"/>
        <v>46812</v>
      </c>
      <c r="T28" s="27" t="str">
        <f t="shared" si="6"/>
        <v>-</v>
      </c>
      <c r="U28" s="27" t="str">
        <f t="shared" si="7"/>
        <v>-</v>
      </c>
    </row>
    <row r="29" spans="8:22">
      <c r="H29" s="27">
        <f t="shared" si="8"/>
        <v>46813</v>
      </c>
      <c r="I29" s="27">
        <f t="shared" si="9"/>
        <v>46843</v>
      </c>
      <c r="K29">
        <f t="shared" si="1"/>
        <v>2028</v>
      </c>
      <c r="P29">
        <f t="shared" si="2"/>
        <v>1</v>
      </c>
      <c r="Q29">
        <f t="shared" si="3"/>
        <v>0</v>
      </c>
      <c r="R29" s="27">
        <f t="shared" si="4"/>
        <v>46813</v>
      </c>
      <c r="S29" s="27">
        <f t="shared" si="5"/>
        <v>46843</v>
      </c>
      <c r="T29" s="27" t="str">
        <f t="shared" si="6"/>
        <v>-</v>
      </c>
      <c r="U29" s="27" t="str">
        <f t="shared" si="7"/>
        <v>-</v>
      </c>
    </row>
    <row r="30" spans="8:22">
      <c r="H30" s="27">
        <f t="shared" si="8"/>
        <v>46844</v>
      </c>
      <c r="I30" s="27">
        <f t="shared" si="9"/>
        <v>46873</v>
      </c>
      <c r="K30">
        <f t="shared" si="1"/>
        <v>2028</v>
      </c>
      <c r="P30">
        <f t="shared" si="2"/>
        <v>1</v>
      </c>
      <c r="Q30">
        <f t="shared" si="3"/>
        <v>0</v>
      </c>
      <c r="R30" s="27">
        <f t="shared" si="4"/>
        <v>46844</v>
      </c>
      <c r="S30" s="27">
        <f t="shared" si="5"/>
        <v>46873</v>
      </c>
      <c r="T30" s="27" t="str">
        <f t="shared" si="6"/>
        <v>-</v>
      </c>
      <c r="U30" s="27" t="str">
        <f t="shared" si="7"/>
        <v>-</v>
      </c>
    </row>
    <row r="31" spans="8:22">
      <c r="H31" s="27">
        <f t="shared" si="8"/>
        <v>46874</v>
      </c>
      <c r="I31" s="27">
        <f t="shared" si="9"/>
        <v>46904</v>
      </c>
      <c r="K31">
        <f t="shared" si="1"/>
        <v>2028</v>
      </c>
      <c r="P31">
        <f t="shared" si="2"/>
        <v>1</v>
      </c>
      <c r="Q31">
        <f t="shared" si="3"/>
        <v>0</v>
      </c>
      <c r="R31" s="27">
        <f t="shared" si="4"/>
        <v>46874</v>
      </c>
      <c r="S31" s="27">
        <f t="shared" si="5"/>
        <v>46904</v>
      </c>
      <c r="T31" s="27" t="str">
        <f t="shared" si="6"/>
        <v>-</v>
      </c>
      <c r="U31" s="27" t="str">
        <f t="shared" si="7"/>
        <v>-</v>
      </c>
    </row>
    <row r="32" spans="8:22">
      <c r="H32" s="27">
        <f t="shared" si="8"/>
        <v>46905</v>
      </c>
      <c r="I32" s="27">
        <f t="shared" si="9"/>
        <v>46934</v>
      </c>
      <c r="K32">
        <f t="shared" si="1"/>
        <v>2028</v>
      </c>
      <c r="P32">
        <f t="shared" si="2"/>
        <v>1</v>
      </c>
      <c r="Q32">
        <f t="shared" si="3"/>
        <v>0</v>
      </c>
      <c r="R32" s="27">
        <f t="shared" si="4"/>
        <v>46905</v>
      </c>
      <c r="S32" s="27">
        <f t="shared" si="5"/>
        <v>46934</v>
      </c>
      <c r="T32" s="27" t="str">
        <f t="shared" si="6"/>
        <v>-</v>
      </c>
      <c r="U32" s="27" t="str">
        <f t="shared" si="7"/>
        <v>-</v>
      </c>
    </row>
    <row r="33" spans="8:21">
      <c r="H33" s="27">
        <f t="shared" si="8"/>
        <v>46935</v>
      </c>
      <c r="I33" s="27">
        <f t="shared" si="9"/>
        <v>46965</v>
      </c>
      <c r="K33">
        <f t="shared" si="1"/>
        <v>2028</v>
      </c>
      <c r="P33">
        <f t="shared" si="2"/>
        <v>1</v>
      </c>
      <c r="Q33">
        <f t="shared" si="3"/>
        <v>0</v>
      </c>
      <c r="R33" s="27">
        <f t="shared" si="4"/>
        <v>46935</v>
      </c>
      <c r="S33" s="27">
        <f t="shared" si="5"/>
        <v>46965</v>
      </c>
      <c r="T33" s="27" t="str">
        <f t="shared" si="6"/>
        <v>-</v>
      </c>
      <c r="U33" s="27" t="str">
        <f t="shared" si="7"/>
        <v>-</v>
      </c>
    </row>
    <row r="34" spans="8:21">
      <c r="H34" s="27">
        <f t="shared" si="8"/>
        <v>46966</v>
      </c>
      <c r="I34" s="27">
        <f t="shared" si="9"/>
        <v>46996</v>
      </c>
      <c r="K34">
        <f t="shared" si="1"/>
        <v>2028</v>
      </c>
      <c r="P34">
        <f t="shared" si="2"/>
        <v>1</v>
      </c>
      <c r="Q34">
        <f t="shared" si="3"/>
        <v>0</v>
      </c>
      <c r="R34" s="27">
        <f t="shared" si="4"/>
        <v>46966</v>
      </c>
      <c r="S34" s="27">
        <f t="shared" si="5"/>
        <v>46996</v>
      </c>
      <c r="T34" s="27" t="str">
        <f t="shared" si="6"/>
        <v>-</v>
      </c>
      <c r="U34" s="27" t="str">
        <f t="shared" si="7"/>
        <v>-</v>
      </c>
    </row>
    <row r="35" spans="8:21">
      <c r="H35" s="27">
        <f t="shared" si="8"/>
        <v>46997</v>
      </c>
      <c r="I35" s="27">
        <f t="shared" si="9"/>
        <v>47026</v>
      </c>
      <c r="K35">
        <f t="shared" si="1"/>
        <v>2028</v>
      </c>
      <c r="P35">
        <f t="shared" si="2"/>
        <v>1</v>
      </c>
      <c r="Q35">
        <f t="shared" si="3"/>
        <v>0</v>
      </c>
      <c r="R35" s="27">
        <f t="shared" si="4"/>
        <v>46997</v>
      </c>
      <c r="S35" s="27">
        <f t="shared" si="5"/>
        <v>47026</v>
      </c>
      <c r="T35" s="27" t="str">
        <f t="shared" si="6"/>
        <v>-</v>
      </c>
      <c r="U35" s="27" t="str">
        <f t="shared" si="7"/>
        <v>-</v>
      </c>
    </row>
    <row r="36" spans="8:21">
      <c r="H36" s="27">
        <f t="shared" si="8"/>
        <v>47027</v>
      </c>
      <c r="I36" s="27">
        <f t="shared" si="9"/>
        <v>47057</v>
      </c>
      <c r="K36">
        <f t="shared" si="1"/>
        <v>2028</v>
      </c>
      <c r="P36">
        <f t="shared" si="2"/>
        <v>1</v>
      </c>
      <c r="Q36">
        <f t="shared" si="3"/>
        <v>0</v>
      </c>
      <c r="R36" s="27">
        <f t="shared" si="4"/>
        <v>47027</v>
      </c>
      <c r="S36" s="27">
        <f t="shared" si="5"/>
        <v>47057</v>
      </c>
      <c r="T36" s="27" t="str">
        <f t="shared" si="6"/>
        <v>-</v>
      </c>
      <c r="U36" s="27" t="str">
        <f t="shared" si="7"/>
        <v>-</v>
      </c>
    </row>
    <row r="37" spans="8:21">
      <c r="H37" s="27">
        <f t="shared" si="8"/>
        <v>47058</v>
      </c>
      <c r="I37" s="27">
        <f t="shared" si="9"/>
        <v>47087</v>
      </c>
      <c r="K37">
        <f t="shared" si="1"/>
        <v>2028</v>
      </c>
      <c r="P37">
        <f t="shared" si="2"/>
        <v>1</v>
      </c>
      <c r="Q37">
        <f t="shared" si="3"/>
        <v>0</v>
      </c>
      <c r="R37" s="27">
        <f t="shared" si="4"/>
        <v>47058</v>
      </c>
      <c r="S37" s="27">
        <f t="shared" si="5"/>
        <v>47087</v>
      </c>
      <c r="T37" s="27" t="str">
        <f t="shared" si="6"/>
        <v>-</v>
      </c>
      <c r="U37" s="27" t="str">
        <f t="shared" si="7"/>
        <v>-</v>
      </c>
    </row>
    <row r="38" spans="8:21">
      <c r="H38" s="27">
        <f t="shared" si="8"/>
        <v>47088</v>
      </c>
      <c r="I38" s="27">
        <f t="shared" si="9"/>
        <v>47118</v>
      </c>
      <c r="K38">
        <f t="shared" si="1"/>
        <v>2028</v>
      </c>
      <c r="P38">
        <f t="shared" si="2"/>
        <v>1</v>
      </c>
      <c r="Q38">
        <f t="shared" si="3"/>
        <v>0</v>
      </c>
      <c r="R38" s="27">
        <f t="shared" si="4"/>
        <v>47088</v>
      </c>
      <c r="S38" s="27">
        <f t="shared" si="5"/>
        <v>47118</v>
      </c>
      <c r="T38" s="27" t="str">
        <f t="shared" si="6"/>
        <v>-</v>
      </c>
      <c r="U38" s="27" t="str">
        <f t="shared" si="7"/>
        <v>-</v>
      </c>
    </row>
    <row r="39" spans="8:21">
      <c r="H39" s="27">
        <f t="shared" si="8"/>
        <v>47119</v>
      </c>
      <c r="I39" s="27">
        <f t="shared" si="9"/>
        <v>47149</v>
      </c>
      <c r="K39">
        <f t="shared" si="1"/>
        <v>2029</v>
      </c>
      <c r="P39">
        <f t="shared" si="2"/>
        <v>1</v>
      </c>
      <c r="Q39">
        <f t="shared" si="3"/>
        <v>0</v>
      </c>
      <c r="R39" s="27">
        <f t="shared" si="4"/>
        <v>47119</v>
      </c>
      <c r="S39" s="27">
        <f t="shared" si="5"/>
        <v>47149</v>
      </c>
      <c r="T39" s="27" t="str">
        <f t="shared" si="6"/>
        <v>-</v>
      </c>
      <c r="U39" s="27" t="str">
        <f t="shared" si="7"/>
        <v>-</v>
      </c>
    </row>
    <row r="40" spans="8:21">
      <c r="H40" s="27">
        <f t="shared" si="8"/>
        <v>47150</v>
      </c>
      <c r="I40" s="27">
        <f t="shared" si="9"/>
        <v>47177</v>
      </c>
      <c r="K40">
        <f t="shared" si="1"/>
        <v>2029</v>
      </c>
      <c r="P40">
        <f t="shared" si="2"/>
        <v>1</v>
      </c>
      <c r="Q40">
        <f t="shared" si="3"/>
        <v>0</v>
      </c>
      <c r="R40" s="27">
        <f t="shared" si="4"/>
        <v>47150</v>
      </c>
      <c r="S40" s="27">
        <f t="shared" si="5"/>
        <v>47177</v>
      </c>
      <c r="T40" s="27" t="str">
        <f t="shared" si="6"/>
        <v>-</v>
      </c>
      <c r="U40" s="27" t="str">
        <f t="shared" si="7"/>
        <v>-</v>
      </c>
    </row>
    <row r="41" spans="8:21">
      <c r="H41" s="27">
        <f t="shared" si="8"/>
        <v>47178</v>
      </c>
      <c r="I41" s="27">
        <f t="shared" si="9"/>
        <v>47208</v>
      </c>
      <c r="K41">
        <f t="shared" si="1"/>
        <v>2029</v>
      </c>
      <c r="P41">
        <f t="shared" si="2"/>
        <v>1</v>
      </c>
      <c r="Q41">
        <f t="shared" si="3"/>
        <v>0</v>
      </c>
      <c r="R41" s="27">
        <f t="shared" si="4"/>
        <v>47178</v>
      </c>
      <c r="S41" s="27">
        <f t="shared" si="5"/>
        <v>47208</v>
      </c>
      <c r="T41" s="27" t="str">
        <f t="shared" si="6"/>
        <v>-</v>
      </c>
      <c r="U41" s="27" t="str">
        <f t="shared" si="7"/>
        <v>-</v>
      </c>
    </row>
    <row r="42" spans="8:21">
      <c r="H42" s="27">
        <f t="shared" si="8"/>
        <v>47209</v>
      </c>
      <c r="I42" s="27">
        <f t="shared" si="9"/>
        <v>47238</v>
      </c>
      <c r="K42">
        <f t="shared" si="1"/>
        <v>2029</v>
      </c>
      <c r="P42">
        <f t="shared" si="2"/>
        <v>1</v>
      </c>
      <c r="Q42">
        <f t="shared" si="3"/>
        <v>0</v>
      </c>
      <c r="R42" s="27">
        <f t="shared" si="4"/>
        <v>47209</v>
      </c>
      <c r="S42" s="27">
        <f t="shared" si="5"/>
        <v>47238</v>
      </c>
      <c r="T42" s="27" t="str">
        <f t="shared" si="6"/>
        <v>-</v>
      </c>
      <c r="U42" s="27" t="str">
        <f t="shared" si="7"/>
        <v>-</v>
      </c>
    </row>
    <row r="43" spans="8:21">
      <c r="H43" s="27">
        <f t="shared" si="8"/>
        <v>47239</v>
      </c>
      <c r="I43" s="27">
        <f t="shared" si="9"/>
        <v>47269</v>
      </c>
      <c r="K43">
        <f t="shared" si="1"/>
        <v>2029</v>
      </c>
      <c r="P43">
        <f t="shared" si="2"/>
        <v>1</v>
      </c>
      <c r="Q43">
        <f t="shared" si="3"/>
        <v>0</v>
      </c>
      <c r="R43" s="27">
        <f t="shared" si="4"/>
        <v>47239</v>
      </c>
      <c r="S43" s="27">
        <f t="shared" si="5"/>
        <v>47269</v>
      </c>
      <c r="T43" s="27" t="str">
        <f t="shared" si="6"/>
        <v>-</v>
      </c>
      <c r="U43" s="27" t="str">
        <f t="shared" si="7"/>
        <v>-</v>
      </c>
    </row>
    <row r="44" spans="8:21">
      <c r="H44" s="27">
        <f t="shared" si="8"/>
        <v>47270</v>
      </c>
      <c r="I44" s="27">
        <f t="shared" si="9"/>
        <v>47299</v>
      </c>
      <c r="K44">
        <f t="shared" si="1"/>
        <v>2029</v>
      </c>
      <c r="P44">
        <f t="shared" si="2"/>
        <v>1</v>
      </c>
      <c r="Q44">
        <f t="shared" si="3"/>
        <v>0</v>
      </c>
      <c r="R44" s="27">
        <f t="shared" si="4"/>
        <v>47270</v>
      </c>
      <c r="S44" s="27">
        <f t="shared" si="5"/>
        <v>47299</v>
      </c>
      <c r="T44" s="27" t="str">
        <f t="shared" si="6"/>
        <v>-</v>
      </c>
      <c r="U44" s="27" t="str">
        <f t="shared" si="7"/>
        <v>-</v>
      </c>
    </row>
    <row r="45" spans="8:21">
      <c r="H45" s="27">
        <f t="shared" si="8"/>
        <v>47300</v>
      </c>
      <c r="I45" s="27">
        <f t="shared" si="9"/>
        <v>47330</v>
      </c>
      <c r="K45">
        <f t="shared" si="1"/>
        <v>2029</v>
      </c>
      <c r="P45">
        <f t="shared" si="2"/>
        <v>1</v>
      </c>
      <c r="Q45">
        <f t="shared" si="3"/>
        <v>0</v>
      </c>
      <c r="R45" s="27">
        <f t="shared" si="4"/>
        <v>47300</v>
      </c>
      <c r="S45" s="27">
        <f t="shared" si="5"/>
        <v>47330</v>
      </c>
      <c r="T45" s="27" t="str">
        <f t="shared" si="6"/>
        <v>-</v>
      </c>
      <c r="U45" s="27" t="str">
        <f t="shared" si="7"/>
        <v>-</v>
      </c>
    </row>
    <row r="46" spans="8:21">
      <c r="H46" s="27">
        <f t="shared" si="8"/>
        <v>47331</v>
      </c>
      <c r="I46" s="27">
        <f t="shared" si="9"/>
        <v>47361</v>
      </c>
      <c r="K46">
        <f t="shared" si="1"/>
        <v>2029</v>
      </c>
      <c r="P46">
        <f t="shared" si="2"/>
        <v>1</v>
      </c>
      <c r="Q46">
        <f t="shared" si="3"/>
        <v>0</v>
      </c>
      <c r="R46" s="27">
        <f t="shared" si="4"/>
        <v>47331</v>
      </c>
      <c r="S46" s="27">
        <f t="shared" si="5"/>
        <v>47361</v>
      </c>
      <c r="T46" s="27" t="str">
        <f t="shared" si="6"/>
        <v>-</v>
      </c>
      <c r="U46" s="27" t="str">
        <f t="shared" si="7"/>
        <v>-</v>
      </c>
    </row>
    <row r="47" spans="8:21">
      <c r="H47" s="27">
        <f t="shared" si="8"/>
        <v>47362</v>
      </c>
      <c r="I47" s="27">
        <f t="shared" si="9"/>
        <v>47391</v>
      </c>
      <c r="K47">
        <f t="shared" si="1"/>
        <v>2029</v>
      </c>
      <c r="P47">
        <f t="shared" si="2"/>
        <v>1</v>
      </c>
      <c r="Q47">
        <f t="shared" si="3"/>
        <v>0</v>
      </c>
      <c r="R47" s="27">
        <f t="shared" si="4"/>
        <v>47362</v>
      </c>
      <c r="S47" s="27">
        <f t="shared" si="5"/>
        <v>47391</v>
      </c>
      <c r="T47" s="27" t="str">
        <f t="shared" si="6"/>
        <v>-</v>
      </c>
      <c r="U47" s="27" t="str">
        <f t="shared" si="7"/>
        <v>-</v>
      </c>
    </row>
    <row r="48" spans="8:21">
      <c r="H48" s="27">
        <f t="shared" si="8"/>
        <v>47392</v>
      </c>
      <c r="I48" s="27">
        <f t="shared" si="9"/>
        <v>47422</v>
      </c>
      <c r="K48">
        <f t="shared" si="1"/>
        <v>2029</v>
      </c>
      <c r="P48">
        <f t="shared" si="2"/>
        <v>1</v>
      </c>
      <c r="Q48">
        <f t="shared" si="3"/>
        <v>0</v>
      </c>
      <c r="R48" s="27">
        <f t="shared" si="4"/>
        <v>47392</v>
      </c>
      <c r="S48" s="27">
        <f t="shared" si="5"/>
        <v>47422</v>
      </c>
      <c r="T48" s="27" t="str">
        <f t="shared" si="6"/>
        <v>-</v>
      </c>
      <c r="U48" s="27" t="str">
        <f t="shared" si="7"/>
        <v>-</v>
      </c>
    </row>
    <row r="49" spans="8:21">
      <c r="H49" s="27">
        <f t="shared" si="8"/>
        <v>47423</v>
      </c>
      <c r="I49" s="27">
        <f t="shared" si="9"/>
        <v>47452</v>
      </c>
      <c r="K49">
        <f t="shared" si="1"/>
        <v>2029</v>
      </c>
      <c r="P49">
        <f t="shared" si="2"/>
        <v>1</v>
      </c>
      <c r="Q49">
        <f t="shared" si="3"/>
        <v>0</v>
      </c>
      <c r="R49" s="27">
        <f t="shared" si="4"/>
        <v>47423</v>
      </c>
      <c r="S49" s="27">
        <f t="shared" si="5"/>
        <v>47452</v>
      </c>
      <c r="T49" s="27" t="str">
        <f t="shared" si="6"/>
        <v>-</v>
      </c>
      <c r="U49" s="27" t="str">
        <f t="shared" si="7"/>
        <v>-</v>
      </c>
    </row>
    <row r="50" spans="8:21">
      <c r="H50" s="27">
        <f t="shared" si="8"/>
        <v>47453</v>
      </c>
      <c r="I50" s="27">
        <f t="shared" si="9"/>
        <v>47483</v>
      </c>
      <c r="K50">
        <f t="shared" si="1"/>
        <v>2029</v>
      </c>
      <c r="P50">
        <f t="shared" si="2"/>
        <v>1</v>
      </c>
      <c r="Q50">
        <f t="shared" si="3"/>
        <v>0</v>
      </c>
      <c r="R50" s="27">
        <f t="shared" si="4"/>
        <v>47453</v>
      </c>
      <c r="S50" s="27">
        <f t="shared" si="5"/>
        <v>47483</v>
      </c>
      <c r="T50" s="27" t="str">
        <f t="shared" si="6"/>
        <v>-</v>
      </c>
      <c r="U50" s="27" t="str">
        <f t="shared" si="7"/>
        <v>-</v>
      </c>
    </row>
    <row r="51" spans="8:21">
      <c r="H51" s="27">
        <f t="shared" si="8"/>
        <v>47484</v>
      </c>
      <c r="I51" s="27">
        <f t="shared" si="9"/>
        <v>47514</v>
      </c>
      <c r="K51">
        <f t="shared" si="1"/>
        <v>2030</v>
      </c>
      <c r="P51">
        <f t="shared" si="2"/>
        <v>1</v>
      </c>
      <c r="Q51">
        <f t="shared" si="3"/>
        <v>0</v>
      </c>
      <c r="R51" s="27">
        <f t="shared" si="4"/>
        <v>47484</v>
      </c>
      <c r="S51" s="27">
        <f t="shared" si="5"/>
        <v>47514</v>
      </c>
      <c r="T51" s="27" t="str">
        <f t="shared" si="6"/>
        <v>-</v>
      </c>
      <c r="U51" s="27" t="str">
        <f t="shared" si="7"/>
        <v>-</v>
      </c>
    </row>
    <row r="52" spans="8:21">
      <c r="H52" s="27">
        <f t="shared" si="8"/>
        <v>47515</v>
      </c>
      <c r="I52" s="27">
        <f t="shared" si="9"/>
        <v>47542</v>
      </c>
      <c r="K52">
        <f t="shared" si="1"/>
        <v>2030</v>
      </c>
      <c r="P52">
        <f t="shared" si="2"/>
        <v>1</v>
      </c>
      <c r="Q52">
        <f t="shared" si="3"/>
        <v>0</v>
      </c>
      <c r="R52" s="27">
        <f t="shared" si="4"/>
        <v>47515</v>
      </c>
      <c r="S52" s="27">
        <f t="shared" si="5"/>
        <v>47542</v>
      </c>
      <c r="T52" s="27" t="str">
        <f t="shared" si="6"/>
        <v>-</v>
      </c>
      <c r="U52" s="27" t="str">
        <f t="shared" si="7"/>
        <v>-</v>
      </c>
    </row>
    <row r="53" spans="8:21">
      <c r="H53" s="27">
        <f t="shared" si="8"/>
        <v>47543</v>
      </c>
      <c r="I53" s="27">
        <f t="shared" si="9"/>
        <v>47573</v>
      </c>
      <c r="K53">
        <f t="shared" si="1"/>
        <v>2030</v>
      </c>
      <c r="P53">
        <f t="shared" si="2"/>
        <v>1</v>
      </c>
      <c r="Q53">
        <f t="shared" si="3"/>
        <v>0</v>
      </c>
      <c r="R53" s="27">
        <f t="shared" si="4"/>
        <v>47543</v>
      </c>
      <c r="S53" s="27">
        <f t="shared" si="5"/>
        <v>47573</v>
      </c>
      <c r="T53" s="27" t="str">
        <f t="shared" si="6"/>
        <v>-</v>
      </c>
      <c r="U53" s="27" t="str">
        <f t="shared" si="7"/>
        <v>-</v>
      </c>
    </row>
    <row r="54" spans="8:21">
      <c r="H54" s="27">
        <f t="shared" si="8"/>
        <v>47574</v>
      </c>
      <c r="I54" s="27">
        <f t="shared" si="9"/>
        <v>47603</v>
      </c>
      <c r="K54">
        <f t="shared" si="1"/>
        <v>2030</v>
      </c>
      <c r="P54">
        <f t="shared" si="2"/>
        <v>1</v>
      </c>
      <c r="Q54">
        <f t="shared" si="3"/>
        <v>0</v>
      </c>
      <c r="R54" s="27">
        <f t="shared" si="4"/>
        <v>47574</v>
      </c>
      <c r="S54" s="27">
        <f t="shared" si="5"/>
        <v>47603</v>
      </c>
      <c r="T54" s="27" t="str">
        <f t="shared" si="6"/>
        <v>-</v>
      </c>
      <c r="U54" s="27" t="str">
        <f t="shared" si="7"/>
        <v>-</v>
      </c>
    </row>
    <row r="55" spans="8:21">
      <c r="H55" s="27">
        <f t="shared" si="8"/>
        <v>47604</v>
      </c>
      <c r="I55" s="27">
        <f t="shared" si="9"/>
        <v>47634</v>
      </c>
      <c r="K55">
        <f t="shared" si="1"/>
        <v>2030</v>
      </c>
      <c r="P55">
        <f t="shared" si="2"/>
        <v>1</v>
      </c>
      <c r="Q55">
        <f t="shared" si="3"/>
        <v>0</v>
      </c>
      <c r="R55" s="27">
        <f t="shared" si="4"/>
        <v>47604</v>
      </c>
      <c r="S55" s="27">
        <f t="shared" si="5"/>
        <v>47634</v>
      </c>
      <c r="T55" s="27" t="str">
        <f t="shared" si="6"/>
        <v>-</v>
      </c>
      <c r="U55" s="27" t="str">
        <f t="shared" si="7"/>
        <v>-</v>
      </c>
    </row>
    <row r="56" spans="8:21">
      <c r="H56" s="27">
        <f t="shared" si="8"/>
        <v>47635</v>
      </c>
      <c r="I56" s="27">
        <f t="shared" si="9"/>
        <v>47664</v>
      </c>
      <c r="K56">
        <f t="shared" si="1"/>
        <v>2030</v>
      </c>
      <c r="P56">
        <f t="shared" si="2"/>
        <v>1</v>
      </c>
      <c r="Q56">
        <f t="shared" si="3"/>
        <v>0</v>
      </c>
      <c r="R56" s="27">
        <f t="shared" si="4"/>
        <v>47635</v>
      </c>
      <c r="S56" s="27">
        <f t="shared" si="5"/>
        <v>47664</v>
      </c>
      <c r="T56" s="27" t="str">
        <f t="shared" si="6"/>
        <v>-</v>
      </c>
      <c r="U56" s="27" t="str">
        <f t="shared" si="7"/>
        <v>-</v>
      </c>
    </row>
    <row r="57" spans="8:21">
      <c r="H57" s="27">
        <f t="shared" si="8"/>
        <v>47665</v>
      </c>
      <c r="I57" s="27">
        <f t="shared" si="9"/>
        <v>47695</v>
      </c>
      <c r="K57">
        <f t="shared" ref="K57:K120" si="12">YEAR(H57)</f>
        <v>2030</v>
      </c>
      <c r="P57">
        <f t="shared" si="2"/>
        <v>1</v>
      </c>
      <c r="Q57">
        <f t="shared" si="3"/>
        <v>0</v>
      </c>
      <c r="R57" s="27">
        <f t="shared" si="4"/>
        <v>47665</v>
      </c>
      <c r="S57" s="27">
        <f t="shared" si="5"/>
        <v>47695</v>
      </c>
      <c r="T57" s="27" t="str">
        <f t="shared" si="6"/>
        <v>-</v>
      </c>
      <c r="U57" s="27" t="str">
        <f t="shared" si="7"/>
        <v>-</v>
      </c>
    </row>
    <row r="58" spans="8:21">
      <c r="H58" s="27">
        <f t="shared" si="8"/>
        <v>47696</v>
      </c>
      <c r="I58" s="27">
        <f t="shared" si="9"/>
        <v>47726</v>
      </c>
      <c r="K58">
        <f t="shared" si="12"/>
        <v>2030</v>
      </c>
      <c r="P58">
        <f t="shared" si="2"/>
        <v>1</v>
      </c>
      <c r="Q58">
        <f t="shared" si="3"/>
        <v>0</v>
      </c>
      <c r="R58" s="27">
        <f t="shared" si="4"/>
        <v>47696</v>
      </c>
      <c r="S58" s="27">
        <f t="shared" si="5"/>
        <v>47726</v>
      </c>
      <c r="T58" s="27" t="str">
        <f t="shared" si="6"/>
        <v>-</v>
      </c>
      <c r="U58" s="27" t="str">
        <f t="shared" si="7"/>
        <v>-</v>
      </c>
    </row>
    <row r="59" spans="8:21">
      <c r="H59" s="27">
        <f t="shared" si="8"/>
        <v>47727</v>
      </c>
      <c r="I59" s="27">
        <f t="shared" si="9"/>
        <v>47756</v>
      </c>
      <c r="K59">
        <f t="shared" si="12"/>
        <v>2030</v>
      </c>
      <c r="P59">
        <f t="shared" si="2"/>
        <v>1</v>
      </c>
      <c r="Q59">
        <f t="shared" si="3"/>
        <v>0</v>
      </c>
      <c r="R59" s="27">
        <f t="shared" si="4"/>
        <v>47727</v>
      </c>
      <c r="S59" s="27">
        <f t="shared" si="5"/>
        <v>47756</v>
      </c>
      <c r="T59" s="27" t="str">
        <f t="shared" si="6"/>
        <v>-</v>
      </c>
      <c r="U59" s="27" t="str">
        <f t="shared" si="7"/>
        <v>-</v>
      </c>
    </row>
    <row r="60" spans="8:21">
      <c r="H60" s="27">
        <f t="shared" si="8"/>
        <v>47757</v>
      </c>
      <c r="I60" s="27">
        <f t="shared" si="9"/>
        <v>47787</v>
      </c>
      <c r="K60">
        <f t="shared" si="12"/>
        <v>2030</v>
      </c>
      <c r="P60">
        <f t="shared" si="2"/>
        <v>1</v>
      </c>
      <c r="Q60">
        <f t="shared" si="3"/>
        <v>0</v>
      </c>
      <c r="R60" s="27">
        <f t="shared" si="4"/>
        <v>47757</v>
      </c>
      <c r="S60" s="27">
        <f t="shared" si="5"/>
        <v>47787</v>
      </c>
      <c r="T60" s="27" t="str">
        <f t="shared" si="6"/>
        <v>-</v>
      </c>
      <c r="U60" s="27" t="str">
        <f t="shared" si="7"/>
        <v>-</v>
      </c>
    </row>
    <row r="61" spans="8:21">
      <c r="H61" s="27">
        <f t="shared" si="8"/>
        <v>47788</v>
      </c>
      <c r="I61" s="27">
        <f t="shared" si="9"/>
        <v>47817</v>
      </c>
      <c r="K61">
        <f t="shared" si="12"/>
        <v>2030</v>
      </c>
      <c r="P61">
        <f t="shared" si="2"/>
        <v>1</v>
      </c>
      <c r="Q61">
        <f t="shared" si="3"/>
        <v>0</v>
      </c>
      <c r="R61" s="27">
        <f t="shared" si="4"/>
        <v>47788</v>
      </c>
      <c r="S61" s="27">
        <f t="shared" si="5"/>
        <v>47817</v>
      </c>
      <c r="T61" s="27" t="str">
        <f t="shared" si="6"/>
        <v>-</v>
      </c>
      <c r="U61" s="27" t="str">
        <f t="shared" si="7"/>
        <v>-</v>
      </c>
    </row>
    <row r="62" spans="8:21">
      <c r="H62" s="27">
        <f t="shared" si="8"/>
        <v>47818</v>
      </c>
      <c r="I62" s="27">
        <f t="shared" si="9"/>
        <v>47848</v>
      </c>
      <c r="K62">
        <f t="shared" si="12"/>
        <v>2030</v>
      </c>
      <c r="P62">
        <f t="shared" si="2"/>
        <v>1</v>
      </c>
      <c r="Q62">
        <f t="shared" si="3"/>
        <v>0</v>
      </c>
      <c r="R62" s="27">
        <f t="shared" si="4"/>
        <v>47818</v>
      </c>
      <c r="S62" s="27">
        <f t="shared" si="5"/>
        <v>47848</v>
      </c>
      <c r="T62" s="27" t="str">
        <f t="shared" si="6"/>
        <v>-</v>
      </c>
      <c r="U62" s="27" t="str">
        <f t="shared" si="7"/>
        <v>-</v>
      </c>
    </row>
    <row r="63" spans="8:21">
      <c r="H63" s="27">
        <f t="shared" si="8"/>
        <v>47849</v>
      </c>
      <c r="I63" s="27">
        <f t="shared" si="9"/>
        <v>47879</v>
      </c>
      <c r="K63">
        <f t="shared" si="12"/>
        <v>2031</v>
      </c>
      <c r="P63">
        <f t="shared" si="2"/>
        <v>0</v>
      </c>
      <c r="Q63">
        <f t="shared" si="3"/>
        <v>0</v>
      </c>
      <c r="R63" s="27" t="str">
        <f t="shared" si="4"/>
        <v>-</v>
      </c>
      <c r="S63" s="27" t="str">
        <f t="shared" si="5"/>
        <v>-</v>
      </c>
      <c r="T63" s="27" t="str">
        <f t="shared" si="6"/>
        <v>-</v>
      </c>
      <c r="U63" s="27" t="str">
        <f t="shared" si="7"/>
        <v>-</v>
      </c>
    </row>
    <row r="64" spans="8:21">
      <c r="H64" s="27">
        <f t="shared" si="8"/>
        <v>47880</v>
      </c>
      <c r="I64" s="27">
        <f t="shared" si="9"/>
        <v>47907</v>
      </c>
      <c r="K64">
        <f t="shared" si="12"/>
        <v>2031</v>
      </c>
      <c r="P64">
        <f t="shared" si="2"/>
        <v>0</v>
      </c>
      <c r="Q64">
        <f t="shared" si="3"/>
        <v>0</v>
      </c>
      <c r="R64" s="27" t="str">
        <f t="shared" si="4"/>
        <v>-</v>
      </c>
      <c r="S64" s="27" t="str">
        <f t="shared" si="5"/>
        <v>-</v>
      </c>
      <c r="T64" s="27" t="str">
        <f t="shared" si="6"/>
        <v>-</v>
      </c>
      <c r="U64" s="27" t="str">
        <f t="shared" si="7"/>
        <v>-</v>
      </c>
    </row>
    <row r="65" spans="8:21">
      <c r="H65" s="27">
        <f t="shared" si="8"/>
        <v>47908</v>
      </c>
      <c r="I65" s="27">
        <f t="shared" si="9"/>
        <v>47938</v>
      </c>
      <c r="K65">
        <f t="shared" si="12"/>
        <v>2031</v>
      </c>
      <c r="P65">
        <f t="shared" si="2"/>
        <v>0</v>
      </c>
      <c r="Q65">
        <f t="shared" si="3"/>
        <v>0</v>
      </c>
      <c r="R65" s="27" t="str">
        <f t="shared" si="4"/>
        <v>-</v>
      </c>
      <c r="S65" s="27" t="str">
        <f t="shared" si="5"/>
        <v>-</v>
      </c>
      <c r="T65" s="27" t="str">
        <f t="shared" si="6"/>
        <v>-</v>
      </c>
      <c r="U65" s="27" t="str">
        <f t="shared" si="7"/>
        <v>-</v>
      </c>
    </row>
    <row r="66" spans="8:21">
      <c r="H66" s="27">
        <f t="shared" si="8"/>
        <v>47939</v>
      </c>
      <c r="I66" s="27">
        <f t="shared" si="9"/>
        <v>47968</v>
      </c>
      <c r="K66">
        <f t="shared" si="12"/>
        <v>2031</v>
      </c>
      <c r="P66">
        <f t="shared" si="2"/>
        <v>0</v>
      </c>
      <c r="Q66">
        <f t="shared" si="3"/>
        <v>0</v>
      </c>
      <c r="R66" s="27" t="str">
        <f t="shared" si="4"/>
        <v>-</v>
      </c>
      <c r="S66" s="27" t="str">
        <f t="shared" si="5"/>
        <v>-</v>
      </c>
      <c r="T66" s="27" t="str">
        <f t="shared" si="6"/>
        <v>-</v>
      </c>
      <c r="U66" s="27" t="str">
        <f t="shared" si="7"/>
        <v>-</v>
      </c>
    </row>
    <row r="67" spans="8:21">
      <c r="H67" s="27">
        <f t="shared" si="8"/>
        <v>47969</v>
      </c>
      <c r="I67" s="27">
        <f t="shared" si="9"/>
        <v>47999</v>
      </c>
      <c r="K67">
        <f t="shared" si="12"/>
        <v>2031</v>
      </c>
      <c r="P67">
        <f t="shared" ref="P67:P128" si="13">IF(I67&lt;=$N$2,1,0)</f>
        <v>0</v>
      </c>
      <c r="Q67">
        <f t="shared" ref="Q67:Q128" si="14">IF(I67&lt;=$O$2,1,0)</f>
        <v>0</v>
      </c>
      <c r="R67" s="27" t="str">
        <f t="shared" ref="R67:R128" si="15">IF(H67*P67=0,"-",H67*P67)</f>
        <v>-</v>
      </c>
      <c r="S67" s="27" t="str">
        <f t="shared" ref="S67:S128" si="16">IF(I67*P67=0,"-",I67*P67)</f>
        <v>-</v>
      </c>
      <c r="T67" s="27" t="str">
        <f t="shared" ref="T67:T128" si="17">IF(H67*Q67=0,"-",H67*Q67)</f>
        <v>-</v>
      </c>
      <c r="U67" s="27" t="str">
        <f t="shared" ref="U67:U128" si="18">IF(I67*Q67=0,"-",I67*Q67)</f>
        <v>-</v>
      </c>
    </row>
    <row r="68" spans="8:21">
      <c r="H68" s="27">
        <f t="shared" ref="H68:H128" si="19">I67+1</f>
        <v>48000</v>
      </c>
      <c r="I68" s="27">
        <f t="shared" ref="I68:I128" si="20">EOMONTH(H68,0)</f>
        <v>48029</v>
      </c>
      <c r="K68">
        <f t="shared" si="12"/>
        <v>2031</v>
      </c>
      <c r="P68">
        <f t="shared" si="13"/>
        <v>0</v>
      </c>
      <c r="Q68">
        <f t="shared" si="14"/>
        <v>0</v>
      </c>
      <c r="R68" s="27" t="str">
        <f t="shared" si="15"/>
        <v>-</v>
      </c>
      <c r="S68" s="27" t="str">
        <f t="shared" si="16"/>
        <v>-</v>
      </c>
      <c r="T68" s="27" t="str">
        <f t="shared" si="17"/>
        <v>-</v>
      </c>
      <c r="U68" s="27" t="str">
        <f t="shared" si="18"/>
        <v>-</v>
      </c>
    </row>
    <row r="69" spans="8:21">
      <c r="H69" s="27">
        <f t="shared" si="19"/>
        <v>48030</v>
      </c>
      <c r="I69" s="27">
        <f t="shared" si="20"/>
        <v>48060</v>
      </c>
      <c r="K69">
        <f t="shared" si="12"/>
        <v>2031</v>
      </c>
      <c r="P69">
        <f t="shared" si="13"/>
        <v>0</v>
      </c>
      <c r="Q69">
        <f t="shared" si="14"/>
        <v>0</v>
      </c>
      <c r="R69" s="27" t="str">
        <f t="shared" si="15"/>
        <v>-</v>
      </c>
      <c r="S69" s="27" t="str">
        <f t="shared" si="16"/>
        <v>-</v>
      </c>
      <c r="T69" s="27" t="str">
        <f t="shared" si="17"/>
        <v>-</v>
      </c>
      <c r="U69" s="27" t="str">
        <f t="shared" si="18"/>
        <v>-</v>
      </c>
    </row>
    <row r="70" spans="8:21">
      <c r="H70" s="27">
        <f t="shared" si="19"/>
        <v>48061</v>
      </c>
      <c r="I70" s="27">
        <f t="shared" si="20"/>
        <v>48091</v>
      </c>
      <c r="K70">
        <f t="shared" si="12"/>
        <v>2031</v>
      </c>
      <c r="P70">
        <f t="shared" si="13"/>
        <v>0</v>
      </c>
      <c r="Q70">
        <f t="shared" si="14"/>
        <v>0</v>
      </c>
      <c r="R70" s="27" t="str">
        <f t="shared" si="15"/>
        <v>-</v>
      </c>
      <c r="S70" s="27" t="str">
        <f t="shared" si="16"/>
        <v>-</v>
      </c>
      <c r="T70" s="27" t="str">
        <f t="shared" si="17"/>
        <v>-</v>
      </c>
      <c r="U70" s="27" t="str">
        <f t="shared" si="18"/>
        <v>-</v>
      </c>
    </row>
    <row r="71" spans="8:21">
      <c r="H71" s="27">
        <f t="shared" si="19"/>
        <v>48092</v>
      </c>
      <c r="I71" s="27">
        <f t="shared" si="20"/>
        <v>48121</v>
      </c>
      <c r="K71">
        <f t="shared" si="12"/>
        <v>2031</v>
      </c>
      <c r="P71">
        <f t="shared" si="13"/>
        <v>0</v>
      </c>
      <c r="Q71">
        <f t="shared" si="14"/>
        <v>0</v>
      </c>
      <c r="R71" s="27" t="str">
        <f t="shared" si="15"/>
        <v>-</v>
      </c>
      <c r="S71" s="27" t="str">
        <f t="shared" si="16"/>
        <v>-</v>
      </c>
      <c r="T71" s="27" t="str">
        <f t="shared" si="17"/>
        <v>-</v>
      </c>
      <c r="U71" s="27" t="str">
        <f t="shared" si="18"/>
        <v>-</v>
      </c>
    </row>
    <row r="72" spans="8:21">
      <c r="H72" s="27">
        <f t="shared" si="19"/>
        <v>48122</v>
      </c>
      <c r="I72" s="27">
        <f t="shared" si="20"/>
        <v>48152</v>
      </c>
      <c r="K72">
        <f t="shared" si="12"/>
        <v>2031</v>
      </c>
      <c r="P72">
        <f t="shared" si="13"/>
        <v>0</v>
      </c>
      <c r="Q72">
        <f t="shared" si="14"/>
        <v>0</v>
      </c>
      <c r="R72" s="27" t="str">
        <f t="shared" si="15"/>
        <v>-</v>
      </c>
      <c r="S72" s="27" t="str">
        <f t="shared" si="16"/>
        <v>-</v>
      </c>
      <c r="T72" s="27" t="str">
        <f t="shared" si="17"/>
        <v>-</v>
      </c>
      <c r="U72" s="27" t="str">
        <f t="shared" si="18"/>
        <v>-</v>
      </c>
    </row>
    <row r="73" spans="8:21">
      <c r="H73" s="27">
        <f t="shared" si="19"/>
        <v>48153</v>
      </c>
      <c r="I73" s="27">
        <f t="shared" si="20"/>
        <v>48182</v>
      </c>
      <c r="K73">
        <f t="shared" si="12"/>
        <v>2031</v>
      </c>
      <c r="P73">
        <f t="shared" si="13"/>
        <v>0</v>
      </c>
      <c r="Q73">
        <f t="shared" si="14"/>
        <v>0</v>
      </c>
      <c r="R73" s="27" t="str">
        <f t="shared" si="15"/>
        <v>-</v>
      </c>
      <c r="S73" s="27" t="str">
        <f t="shared" si="16"/>
        <v>-</v>
      </c>
      <c r="T73" s="27" t="str">
        <f t="shared" si="17"/>
        <v>-</v>
      </c>
      <c r="U73" s="27" t="str">
        <f t="shared" si="18"/>
        <v>-</v>
      </c>
    </row>
    <row r="74" spans="8:21">
      <c r="H74" s="27">
        <f t="shared" si="19"/>
        <v>48183</v>
      </c>
      <c r="I74" s="27">
        <f t="shared" si="20"/>
        <v>48213</v>
      </c>
      <c r="K74">
        <f t="shared" si="12"/>
        <v>2031</v>
      </c>
      <c r="P74">
        <f t="shared" si="13"/>
        <v>0</v>
      </c>
      <c r="Q74">
        <f t="shared" si="14"/>
        <v>0</v>
      </c>
      <c r="R74" s="27" t="str">
        <f t="shared" si="15"/>
        <v>-</v>
      </c>
      <c r="S74" s="27" t="str">
        <f t="shared" si="16"/>
        <v>-</v>
      </c>
      <c r="T74" s="27" t="str">
        <f t="shared" si="17"/>
        <v>-</v>
      </c>
      <c r="U74" s="27" t="str">
        <f t="shared" si="18"/>
        <v>-</v>
      </c>
    </row>
    <row r="75" spans="8:21">
      <c r="H75" s="27">
        <f t="shared" si="19"/>
        <v>48214</v>
      </c>
      <c r="I75" s="27">
        <f t="shared" si="20"/>
        <v>48244</v>
      </c>
      <c r="K75">
        <f t="shared" si="12"/>
        <v>2032</v>
      </c>
      <c r="P75">
        <f t="shared" si="13"/>
        <v>0</v>
      </c>
      <c r="Q75">
        <f t="shared" si="14"/>
        <v>0</v>
      </c>
      <c r="R75" s="27" t="str">
        <f t="shared" si="15"/>
        <v>-</v>
      </c>
      <c r="S75" s="27" t="str">
        <f t="shared" si="16"/>
        <v>-</v>
      </c>
      <c r="T75" s="27" t="str">
        <f t="shared" si="17"/>
        <v>-</v>
      </c>
      <c r="U75" s="27" t="str">
        <f t="shared" si="18"/>
        <v>-</v>
      </c>
    </row>
    <row r="76" spans="8:21">
      <c r="H76" s="27">
        <f t="shared" si="19"/>
        <v>48245</v>
      </c>
      <c r="I76" s="27">
        <f t="shared" si="20"/>
        <v>48273</v>
      </c>
      <c r="K76">
        <f t="shared" si="12"/>
        <v>2032</v>
      </c>
      <c r="P76">
        <f t="shared" si="13"/>
        <v>0</v>
      </c>
      <c r="Q76">
        <f t="shared" si="14"/>
        <v>0</v>
      </c>
      <c r="R76" s="27" t="str">
        <f t="shared" si="15"/>
        <v>-</v>
      </c>
      <c r="S76" s="27" t="str">
        <f t="shared" si="16"/>
        <v>-</v>
      </c>
      <c r="T76" s="27" t="str">
        <f t="shared" si="17"/>
        <v>-</v>
      </c>
      <c r="U76" s="27" t="str">
        <f t="shared" si="18"/>
        <v>-</v>
      </c>
    </row>
    <row r="77" spans="8:21">
      <c r="H77" s="27">
        <f t="shared" si="19"/>
        <v>48274</v>
      </c>
      <c r="I77" s="27">
        <f t="shared" si="20"/>
        <v>48304</v>
      </c>
      <c r="K77">
        <f t="shared" si="12"/>
        <v>2032</v>
      </c>
      <c r="P77">
        <f t="shared" si="13"/>
        <v>0</v>
      </c>
      <c r="Q77">
        <f t="shared" si="14"/>
        <v>0</v>
      </c>
      <c r="R77" s="27" t="str">
        <f t="shared" si="15"/>
        <v>-</v>
      </c>
      <c r="S77" s="27" t="str">
        <f t="shared" si="16"/>
        <v>-</v>
      </c>
      <c r="T77" s="27" t="str">
        <f t="shared" si="17"/>
        <v>-</v>
      </c>
      <c r="U77" s="27" t="str">
        <f t="shared" si="18"/>
        <v>-</v>
      </c>
    </row>
    <row r="78" spans="8:21">
      <c r="H78" s="27">
        <f t="shared" si="19"/>
        <v>48305</v>
      </c>
      <c r="I78" s="27">
        <f t="shared" si="20"/>
        <v>48334</v>
      </c>
      <c r="K78">
        <f t="shared" si="12"/>
        <v>2032</v>
      </c>
      <c r="P78">
        <f t="shared" si="13"/>
        <v>0</v>
      </c>
      <c r="Q78">
        <f t="shared" si="14"/>
        <v>0</v>
      </c>
      <c r="R78" s="27" t="str">
        <f t="shared" si="15"/>
        <v>-</v>
      </c>
      <c r="S78" s="27" t="str">
        <f t="shared" si="16"/>
        <v>-</v>
      </c>
      <c r="T78" s="27" t="str">
        <f t="shared" si="17"/>
        <v>-</v>
      </c>
      <c r="U78" s="27" t="str">
        <f t="shared" si="18"/>
        <v>-</v>
      </c>
    </row>
    <row r="79" spans="8:21">
      <c r="H79" s="27">
        <f t="shared" si="19"/>
        <v>48335</v>
      </c>
      <c r="I79" s="27">
        <f t="shared" si="20"/>
        <v>48365</v>
      </c>
      <c r="K79">
        <f t="shared" si="12"/>
        <v>2032</v>
      </c>
      <c r="P79">
        <f t="shared" si="13"/>
        <v>0</v>
      </c>
      <c r="Q79">
        <f t="shared" si="14"/>
        <v>0</v>
      </c>
      <c r="R79" s="27" t="str">
        <f t="shared" si="15"/>
        <v>-</v>
      </c>
      <c r="S79" s="27" t="str">
        <f t="shared" si="16"/>
        <v>-</v>
      </c>
      <c r="T79" s="27" t="str">
        <f t="shared" si="17"/>
        <v>-</v>
      </c>
      <c r="U79" s="27" t="str">
        <f t="shared" si="18"/>
        <v>-</v>
      </c>
    </row>
    <row r="80" spans="8:21">
      <c r="H80" s="27">
        <f t="shared" si="19"/>
        <v>48366</v>
      </c>
      <c r="I80" s="27">
        <f t="shared" si="20"/>
        <v>48395</v>
      </c>
      <c r="K80">
        <f t="shared" si="12"/>
        <v>2032</v>
      </c>
      <c r="P80">
        <f t="shared" si="13"/>
        <v>0</v>
      </c>
      <c r="Q80">
        <f t="shared" si="14"/>
        <v>0</v>
      </c>
      <c r="R80" s="27" t="str">
        <f t="shared" si="15"/>
        <v>-</v>
      </c>
      <c r="S80" s="27" t="str">
        <f t="shared" si="16"/>
        <v>-</v>
      </c>
      <c r="T80" s="27" t="str">
        <f t="shared" si="17"/>
        <v>-</v>
      </c>
      <c r="U80" s="27" t="str">
        <f t="shared" si="18"/>
        <v>-</v>
      </c>
    </row>
    <row r="81" spans="8:21">
      <c r="H81" s="27">
        <f t="shared" si="19"/>
        <v>48396</v>
      </c>
      <c r="I81" s="27">
        <f t="shared" si="20"/>
        <v>48426</v>
      </c>
      <c r="K81">
        <f t="shared" si="12"/>
        <v>2032</v>
      </c>
      <c r="P81">
        <f t="shared" si="13"/>
        <v>0</v>
      </c>
      <c r="Q81">
        <f t="shared" si="14"/>
        <v>0</v>
      </c>
      <c r="R81" s="27" t="str">
        <f t="shared" si="15"/>
        <v>-</v>
      </c>
      <c r="S81" s="27" t="str">
        <f t="shared" si="16"/>
        <v>-</v>
      </c>
      <c r="T81" s="27" t="str">
        <f t="shared" si="17"/>
        <v>-</v>
      </c>
      <c r="U81" s="27" t="str">
        <f t="shared" si="18"/>
        <v>-</v>
      </c>
    </row>
    <row r="82" spans="8:21">
      <c r="H82" s="27">
        <f t="shared" si="19"/>
        <v>48427</v>
      </c>
      <c r="I82" s="27">
        <f t="shared" si="20"/>
        <v>48457</v>
      </c>
      <c r="K82">
        <f t="shared" si="12"/>
        <v>2032</v>
      </c>
      <c r="P82">
        <f t="shared" si="13"/>
        <v>0</v>
      </c>
      <c r="Q82">
        <f t="shared" si="14"/>
        <v>0</v>
      </c>
      <c r="R82" s="27" t="str">
        <f t="shared" si="15"/>
        <v>-</v>
      </c>
      <c r="S82" s="27" t="str">
        <f t="shared" si="16"/>
        <v>-</v>
      </c>
      <c r="T82" s="27" t="str">
        <f t="shared" si="17"/>
        <v>-</v>
      </c>
      <c r="U82" s="27" t="str">
        <f t="shared" si="18"/>
        <v>-</v>
      </c>
    </row>
    <row r="83" spans="8:21">
      <c r="H83" s="27">
        <f t="shared" si="19"/>
        <v>48458</v>
      </c>
      <c r="I83" s="27">
        <f t="shared" si="20"/>
        <v>48487</v>
      </c>
      <c r="K83">
        <f t="shared" si="12"/>
        <v>2032</v>
      </c>
      <c r="P83">
        <f t="shared" si="13"/>
        <v>0</v>
      </c>
      <c r="Q83">
        <f t="shared" si="14"/>
        <v>0</v>
      </c>
      <c r="R83" s="27" t="str">
        <f t="shared" si="15"/>
        <v>-</v>
      </c>
      <c r="S83" s="27" t="str">
        <f t="shared" si="16"/>
        <v>-</v>
      </c>
      <c r="T83" s="27" t="str">
        <f t="shared" si="17"/>
        <v>-</v>
      </c>
      <c r="U83" s="27" t="str">
        <f t="shared" si="18"/>
        <v>-</v>
      </c>
    </row>
    <row r="84" spans="8:21">
      <c r="H84" s="27">
        <f t="shared" si="19"/>
        <v>48488</v>
      </c>
      <c r="I84" s="27">
        <f t="shared" si="20"/>
        <v>48518</v>
      </c>
      <c r="K84">
        <f t="shared" si="12"/>
        <v>2032</v>
      </c>
      <c r="P84">
        <f t="shared" si="13"/>
        <v>0</v>
      </c>
      <c r="Q84">
        <f t="shared" si="14"/>
        <v>0</v>
      </c>
      <c r="R84" s="27" t="str">
        <f t="shared" si="15"/>
        <v>-</v>
      </c>
      <c r="S84" s="27" t="str">
        <f t="shared" si="16"/>
        <v>-</v>
      </c>
      <c r="T84" s="27" t="str">
        <f t="shared" si="17"/>
        <v>-</v>
      </c>
      <c r="U84" s="27" t="str">
        <f t="shared" si="18"/>
        <v>-</v>
      </c>
    </row>
    <row r="85" spans="8:21">
      <c r="H85" s="27">
        <f t="shared" si="19"/>
        <v>48519</v>
      </c>
      <c r="I85" s="27">
        <f t="shared" si="20"/>
        <v>48548</v>
      </c>
      <c r="K85">
        <f t="shared" si="12"/>
        <v>2032</v>
      </c>
      <c r="P85">
        <f t="shared" si="13"/>
        <v>0</v>
      </c>
      <c r="Q85">
        <f t="shared" si="14"/>
        <v>0</v>
      </c>
      <c r="R85" s="27" t="str">
        <f t="shared" si="15"/>
        <v>-</v>
      </c>
      <c r="S85" s="27" t="str">
        <f t="shared" si="16"/>
        <v>-</v>
      </c>
      <c r="T85" s="27" t="str">
        <f t="shared" si="17"/>
        <v>-</v>
      </c>
      <c r="U85" s="27" t="str">
        <f t="shared" si="18"/>
        <v>-</v>
      </c>
    </row>
    <row r="86" spans="8:21">
      <c r="H86" s="27">
        <f t="shared" si="19"/>
        <v>48549</v>
      </c>
      <c r="I86" s="27">
        <f t="shared" si="20"/>
        <v>48579</v>
      </c>
      <c r="K86">
        <f t="shared" si="12"/>
        <v>2032</v>
      </c>
      <c r="P86">
        <f t="shared" si="13"/>
        <v>0</v>
      </c>
      <c r="Q86">
        <f t="shared" si="14"/>
        <v>0</v>
      </c>
      <c r="R86" s="27" t="str">
        <f t="shared" si="15"/>
        <v>-</v>
      </c>
      <c r="S86" s="27" t="str">
        <f t="shared" si="16"/>
        <v>-</v>
      </c>
      <c r="T86" s="27" t="str">
        <f t="shared" si="17"/>
        <v>-</v>
      </c>
      <c r="U86" s="27" t="str">
        <f t="shared" si="18"/>
        <v>-</v>
      </c>
    </row>
    <row r="87" spans="8:21">
      <c r="H87" s="27">
        <f t="shared" si="19"/>
        <v>48580</v>
      </c>
      <c r="I87" s="27">
        <f t="shared" si="20"/>
        <v>48610</v>
      </c>
      <c r="K87">
        <f t="shared" si="12"/>
        <v>2033</v>
      </c>
      <c r="P87">
        <f t="shared" si="13"/>
        <v>0</v>
      </c>
      <c r="Q87">
        <f t="shared" si="14"/>
        <v>0</v>
      </c>
      <c r="R87" s="27" t="str">
        <f t="shared" si="15"/>
        <v>-</v>
      </c>
      <c r="S87" s="27" t="str">
        <f t="shared" si="16"/>
        <v>-</v>
      </c>
      <c r="T87" s="27" t="str">
        <f t="shared" si="17"/>
        <v>-</v>
      </c>
      <c r="U87" s="27" t="str">
        <f t="shared" si="18"/>
        <v>-</v>
      </c>
    </row>
    <row r="88" spans="8:21">
      <c r="H88" s="27">
        <f t="shared" si="19"/>
        <v>48611</v>
      </c>
      <c r="I88" s="27">
        <f t="shared" si="20"/>
        <v>48638</v>
      </c>
      <c r="K88">
        <f t="shared" si="12"/>
        <v>2033</v>
      </c>
      <c r="P88">
        <f t="shared" si="13"/>
        <v>0</v>
      </c>
      <c r="Q88">
        <f t="shared" si="14"/>
        <v>0</v>
      </c>
      <c r="R88" s="27" t="str">
        <f t="shared" si="15"/>
        <v>-</v>
      </c>
      <c r="S88" s="27" t="str">
        <f t="shared" si="16"/>
        <v>-</v>
      </c>
      <c r="T88" s="27" t="str">
        <f t="shared" si="17"/>
        <v>-</v>
      </c>
      <c r="U88" s="27" t="str">
        <f t="shared" si="18"/>
        <v>-</v>
      </c>
    </row>
    <row r="89" spans="8:21">
      <c r="H89" s="27">
        <f t="shared" si="19"/>
        <v>48639</v>
      </c>
      <c r="I89" s="27">
        <f t="shared" si="20"/>
        <v>48669</v>
      </c>
      <c r="K89">
        <f t="shared" si="12"/>
        <v>2033</v>
      </c>
      <c r="P89">
        <f t="shared" si="13"/>
        <v>0</v>
      </c>
      <c r="Q89">
        <f t="shared" si="14"/>
        <v>0</v>
      </c>
      <c r="R89" s="27" t="str">
        <f t="shared" si="15"/>
        <v>-</v>
      </c>
      <c r="S89" s="27" t="str">
        <f t="shared" si="16"/>
        <v>-</v>
      </c>
      <c r="T89" s="27" t="str">
        <f t="shared" si="17"/>
        <v>-</v>
      </c>
      <c r="U89" s="27" t="str">
        <f t="shared" si="18"/>
        <v>-</v>
      </c>
    </row>
    <row r="90" spans="8:21">
      <c r="H90" s="27">
        <f t="shared" si="19"/>
        <v>48670</v>
      </c>
      <c r="I90" s="27">
        <f t="shared" si="20"/>
        <v>48699</v>
      </c>
      <c r="K90">
        <f t="shared" si="12"/>
        <v>2033</v>
      </c>
      <c r="P90">
        <f t="shared" si="13"/>
        <v>0</v>
      </c>
      <c r="Q90">
        <f t="shared" si="14"/>
        <v>0</v>
      </c>
      <c r="R90" s="27" t="str">
        <f t="shared" si="15"/>
        <v>-</v>
      </c>
      <c r="S90" s="27" t="str">
        <f t="shared" si="16"/>
        <v>-</v>
      </c>
      <c r="T90" s="27" t="str">
        <f t="shared" si="17"/>
        <v>-</v>
      </c>
      <c r="U90" s="27" t="str">
        <f t="shared" si="18"/>
        <v>-</v>
      </c>
    </row>
    <row r="91" spans="8:21">
      <c r="H91" s="27">
        <f t="shared" si="19"/>
        <v>48700</v>
      </c>
      <c r="I91" s="27">
        <f t="shared" si="20"/>
        <v>48730</v>
      </c>
      <c r="K91">
        <f t="shared" si="12"/>
        <v>2033</v>
      </c>
      <c r="P91">
        <f t="shared" si="13"/>
        <v>0</v>
      </c>
      <c r="Q91">
        <f t="shared" si="14"/>
        <v>0</v>
      </c>
      <c r="R91" s="27" t="str">
        <f t="shared" si="15"/>
        <v>-</v>
      </c>
      <c r="S91" s="27" t="str">
        <f t="shared" si="16"/>
        <v>-</v>
      </c>
      <c r="T91" s="27" t="str">
        <f t="shared" si="17"/>
        <v>-</v>
      </c>
      <c r="U91" s="27" t="str">
        <f t="shared" si="18"/>
        <v>-</v>
      </c>
    </row>
    <row r="92" spans="8:21">
      <c r="H92" s="27">
        <f t="shared" si="19"/>
        <v>48731</v>
      </c>
      <c r="I92" s="27">
        <f t="shared" si="20"/>
        <v>48760</v>
      </c>
      <c r="K92">
        <f t="shared" si="12"/>
        <v>2033</v>
      </c>
      <c r="P92">
        <f t="shared" si="13"/>
        <v>0</v>
      </c>
      <c r="Q92">
        <f t="shared" si="14"/>
        <v>0</v>
      </c>
      <c r="R92" s="27" t="str">
        <f t="shared" si="15"/>
        <v>-</v>
      </c>
      <c r="S92" s="27" t="str">
        <f t="shared" si="16"/>
        <v>-</v>
      </c>
      <c r="T92" s="27" t="str">
        <f t="shared" si="17"/>
        <v>-</v>
      </c>
      <c r="U92" s="27" t="str">
        <f t="shared" si="18"/>
        <v>-</v>
      </c>
    </row>
    <row r="93" spans="8:21">
      <c r="H93" s="27">
        <f t="shared" si="19"/>
        <v>48761</v>
      </c>
      <c r="I93" s="27">
        <f t="shared" si="20"/>
        <v>48791</v>
      </c>
      <c r="K93">
        <f t="shared" si="12"/>
        <v>2033</v>
      </c>
      <c r="P93">
        <f t="shared" si="13"/>
        <v>0</v>
      </c>
      <c r="Q93">
        <f t="shared" si="14"/>
        <v>0</v>
      </c>
      <c r="R93" s="27" t="str">
        <f t="shared" si="15"/>
        <v>-</v>
      </c>
      <c r="S93" s="27" t="str">
        <f t="shared" si="16"/>
        <v>-</v>
      </c>
      <c r="T93" s="27" t="str">
        <f t="shared" si="17"/>
        <v>-</v>
      </c>
      <c r="U93" s="27" t="str">
        <f t="shared" si="18"/>
        <v>-</v>
      </c>
    </row>
    <row r="94" spans="8:21">
      <c r="H94" s="27">
        <f t="shared" si="19"/>
        <v>48792</v>
      </c>
      <c r="I94" s="27">
        <f t="shared" si="20"/>
        <v>48822</v>
      </c>
      <c r="K94">
        <f t="shared" si="12"/>
        <v>2033</v>
      </c>
      <c r="P94">
        <f t="shared" si="13"/>
        <v>0</v>
      </c>
      <c r="Q94">
        <f t="shared" si="14"/>
        <v>0</v>
      </c>
      <c r="R94" s="27" t="str">
        <f t="shared" si="15"/>
        <v>-</v>
      </c>
      <c r="S94" s="27" t="str">
        <f t="shared" si="16"/>
        <v>-</v>
      </c>
      <c r="T94" s="27" t="str">
        <f t="shared" si="17"/>
        <v>-</v>
      </c>
      <c r="U94" s="27" t="str">
        <f t="shared" si="18"/>
        <v>-</v>
      </c>
    </row>
    <row r="95" spans="8:21">
      <c r="H95" s="27">
        <f t="shared" si="19"/>
        <v>48823</v>
      </c>
      <c r="I95" s="27">
        <f t="shared" si="20"/>
        <v>48852</v>
      </c>
      <c r="K95">
        <f t="shared" si="12"/>
        <v>2033</v>
      </c>
      <c r="P95">
        <f t="shared" si="13"/>
        <v>0</v>
      </c>
      <c r="Q95">
        <f t="shared" si="14"/>
        <v>0</v>
      </c>
      <c r="R95" s="27" t="str">
        <f t="shared" si="15"/>
        <v>-</v>
      </c>
      <c r="S95" s="27" t="str">
        <f t="shared" si="16"/>
        <v>-</v>
      </c>
      <c r="T95" s="27" t="str">
        <f t="shared" si="17"/>
        <v>-</v>
      </c>
      <c r="U95" s="27" t="str">
        <f t="shared" si="18"/>
        <v>-</v>
      </c>
    </row>
    <row r="96" spans="8:21">
      <c r="H96" s="27">
        <f t="shared" si="19"/>
        <v>48853</v>
      </c>
      <c r="I96" s="27">
        <f t="shared" si="20"/>
        <v>48883</v>
      </c>
      <c r="K96">
        <f t="shared" si="12"/>
        <v>2033</v>
      </c>
      <c r="P96">
        <f t="shared" si="13"/>
        <v>0</v>
      </c>
      <c r="Q96">
        <f t="shared" si="14"/>
        <v>0</v>
      </c>
      <c r="R96" s="27" t="str">
        <f t="shared" si="15"/>
        <v>-</v>
      </c>
      <c r="S96" s="27" t="str">
        <f t="shared" si="16"/>
        <v>-</v>
      </c>
      <c r="T96" s="27" t="str">
        <f t="shared" si="17"/>
        <v>-</v>
      </c>
      <c r="U96" s="27" t="str">
        <f t="shared" si="18"/>
        <v>-</v>
      </c>
    </row>
    <row r="97" spans="8:21">
      <c r="H97" s="27">
        <f t="shared" si="19"/>
        <v>48884</v>
      </c>
      <c r="I97" s="27">
        <f t="shared" si="20"/>
        <v>48913</v>
      </c>
      <c r="K97">
        <f t="shared" si="12"/>
        <v>2033</v>
      </c>
      <c r="P97">
        <f t="shared" si="13"/>
        <v>0</v>
      </c>
      <c r="Q97">
        <f t="shared" si="14"/>
        <v>0</v>
      </c>
      <c r="R97" s="27" t="str">
        <f t="shared" si="15"/>
        <v>-</v>
      </c>
      <c r="S97" s="27" t="str">
        <f t="shared" si="16"/>
        <v>-</v>
      </c>
      <c r="T97" s="27" t="str">
        <f t="shared" si="17"/>
        <v>-</v>
      </c>
      <c r="U97" s="27" t="str">
        <f t="shared" si="18"/>
        <v>-</v>
      </c>
    </row>
    <row r="98" spans="8:21">
      <c r="H98" s="27">
        <f t="shared" si="19"/>
        <v>48914</v>
      </c>
      <c r="I98" s="27">
        <f t="shared" si="20"/>
        <v>48944</v>
      </c>
      <c r="K98">
        <f t="shared" si="12"/>
        <v>2033</v>
      </c>
      <c r="P98">
        <f t="shared" si="13"/>
        <v>0</v>
      </c>
      <c r="Q98">
        <f t="shared" si="14"/>
        <v>0</v>
      </c>
      <c r="R98" s="27" t="str">
        <f t="shared" si="15"/>
        <v>-</v>
      </c>
      <c r="S98" s="27" t="str">
        <f t="shared" si="16"/>
        <v>-</v>
      </c>
      <c r="T98" s="27" t="str">
        <f t="shared" si="17"/>
        <v>-</v>
      </c>
      <c r="U98" s="27" t="str">
        <f t="shared" si="18"/>
        <v>-</v>
      </c>
    </row>
    <row r="99" spans="8:21">
      <c r="H99" s="27">
        <f t="shared" si="19"/>
        <v>48945</v>
      </c>
      <c r="I99" s="27">
        <f t="shared" si="20"/>
        <v>48975</v>
      </c>
      <c r="K99">
        <f t="shared" si="12"/>
        <v>2034</v>
      </c>
      <c r="P99">
        <f t="shared" si="13"/>
        <v>0</v>
      </c>
      <c r="Q99">
        <f t="shared" si="14"/>
        <v>0</v>
      </c>
      <c r="R99" s="27" t="str">
        <f t="shared" si="15"/>
        <v>-</v>
      </c>
      <c r="S99" s="27" t="str">
        <f t="shared" si="16"/>
        <v>-</v>
      </c>
      <c r="T99" s="27" t="str">
        <f t="shared" si="17"/>
        <v>-</v>
      </c>
      <c r="U99" s="27" t="str">
        <f t="shared" si="18"/>
        <v>-</v>
      </c>
    </row>
    <row r="100" spans="8:21">
      <c r="H100" s="27">
        <f t="shared" si="19"/>
        <v>48976</v>
      </c>
      <c r="I100" s="27">
        <f t="shared" si="20"/>
        <v>49003</v>
      </c>
      <c r="K100">
        <f t="shared" si="12"/>
        <v>2034</v>
      </c>
      <c r="P100">
        <f t="shared" si="13"/>
        <v>0</v>
      </c>
      <c r="Q100">
        <f t="shared" si="14"/>
        <v>0</v>
      </c>
      <c r="R100" s="27" t="str">
        <f t="shared" si="15"/>
        <v>-</v>
      </c>
      <c r="S100" s="27" t="str">
        <f t="shared" si="16"/>
        <v>-</v>
      </c>
      <c r="T100" s="27" t="str">
        <f t="shared" si="17"/>
        <v>-</v>
      </c>
      <c r="U100" s="27" t="str">
        <f t="shared" si="18"/>
        <v>-</v>
      </c>
    </row>
    <row r="101" spans="8:21">
      <c r="H101" s="27">
        <f t="shared" si="19"/>
        <v>49004</v>
      </c>
      <c r="I101" s="27">
        <f t="shared" si="20"/>
        <v>49034</v>
      </c>
      <c r="K101">
        <f t="shared" si="12"/>
        <v>2034</v>
      </c>
      <c r="P101">
        <f t="shared" si="13"/>
        <v>0</v>
      </c>
      <c r="Q101">
        <f t="shared" si="14"/>
        <v>0</v>
      </c>
      <c r="R101" s="27" t="str">
        <f t="shared" si="15"/>
        <v>-</v>
      </c>
      <c r="S101" s="27" t="str">
        <f t="shared" si="16"/>
        <v>-</v>
      </c>
      <c r="T101" s="27" t="str">
        <f t="shared" si="17"/>
        <v>-</v>
      </c>
      <c r="U101" s="27" t="str">
        <f t="shared" si="18"/>
        <v>-</v>
      </c>
    </row>
    <row r="102" spans="8:21">
      <c r="H102" s="27">
        <f t="shared" si="19"/>
        <v>49035</v>
      </c>
      <c r="I102" s="27">
        <f t="shared" si="20"/>
        <v>49064</v>
      </c>
      <c r="K102">
        <f t="shared" si="12"/>
        <v>2034</v>
      </c>
      <c r="P102">
        <f t="shared" si="13"/>
        <v>0</v>
      </c>
      <c r="Q102">
        <f t="shared" si="14"/>
        <v>0</v>
      </c>
      <c r="R102" s="27" t="str">
        <f t="shared" si="15"/>
        <v>-</v>
      </c>
      <c r="S102" s="27" t="str">
        <f t="shared" si="16"/>
        <v>-</v>
      </c>
      <c r="T102" s="27" t="str">
        <f t="shared" si="17"/>
        <v>-</v>
      </c>
      <c r="U102" s="27" t="str">
        <f t="shared" si="18"/>
        <v>-</v>
      </c>
    </row>
    <row r="103" spans="8:21">
      <c r="H103" s="27">
        <f t="shared" si="19"/>
        <v>49065</v>
      </c>
      <c r="I103" s="27">
        <f t="shared" si="20"/>
        <v>49095</v>
      </c>
      <c r="K103">
        <f t="shared" si="12"/>
        <v>2034</v>
      </c>
      <c r="P103">
        <f t="shared" si="13"/>
        <v>0</v>
      </c>
      <c r="Q103">
        <f t="shared" si="14"/>
        <v>0</v>
      </c>
      <c r="R103" s="27" t="str">
        <f t="shared" si="15"/>
        <v>-</v>
      </c>
      <c r="S103" s="27" t="str">
        <f t="shared" si="16"/>
        <v>-</v>
      </c>
      <c r="T103" s="27" t="str">
        <f t="shared" si="17"/>
        <v>-</v>
      </c>
      <c r="U103" s="27" t="str">
        <f t="shared" si="18"/>
        <v>-</v>
      </c>
    </row>
    <row r="104" spans="8:21">
      <c r="H104" s="27">
        <f t="shared" si="19"/>
        <v>49096</v>
      </c>
      <c r="I104" s="27">
        <f t="shared" si="20"/>
        <v>49125</v>
      </c>
      <c r="K104">
        <f t="shared" si="12"/>
        <v>2034</v>
      </c>
      <c r="P104">
        <f t="shared" si="13"/>
        <v>0</v>
      </c>
      <c r="Q104">
        <f t="shared" si="14"/>
        <v>0</v>
      </c>
      <c r="R104" s="27" t="str">
        <f t="shared" si="15"/>
        <v>-</v>
      </c>
      <c r="S104" s="27" t="str">
        <f t="shared" si="16"/>
        <v>-</v>
      </c>
      <c r="T104" s="27" t="str">
        <f t="shared" si="17"/>
        <v>-</v>
      </c>
      <c r="U104" s="27" t="str">
        <f t="shared" si="18"/>
        <v>-</v>
      </c>
    </row>
    <row r="105" spans="8:21">
      <c r="H105" s="27">
        <f t="shared" si="19"/>
        <v>49126</v>
      </c>
      <c r="I105" s="27">
        <f t="shared" si="20"/>
        <v>49156</v>
      </c>
      <c r="K105">
        <f t="shared" si="12"/>
        <v>2034</v>
      </c>
      <c r="P105">
        <f t="shared" si="13"/>
        <v>0</v>
      </c>
      <c r="Q105">
        <f t="shared" si="14"/>
        <v>0</v>
      </c>
      <c r="R105" s="27" t="str">
        <f t="shared" si="15"/>
        <v>-</v>
      </c>
      <c r="S105" s="27" t="str">
        <f t="shared" si="16"/>
        <v>-</v>
      </c>
      <c r="T105" s="27" t="str">
        <f t="shared" si="17"/>
        <v>-</v>
      </c>
      <c r="U105" s="27" t="str">
        <f t="shared" si="18"/>
        <v>-</v>
      </c>
    </row>
    <row r="106" spans="8:21">
      <c r="H106" s="27">
        <f t="shared" si="19"/>
        <v>49157</v>
      </c>
      <c r="I106" s="27">
        <f t="shared" si="20"/>
        <v>49187</v>
      </c>
      <c r="K106">
        <f t="shared" si="12"/>
        <v>2034</v>
      </c>
      <c r="P106">
        <f t="shared" si="13"/>
        <v>0</v>
      </c>
      <c r="Q106">
        <f t="shared" si="14"/>
        <v>0</v>
      </c>
      <c r="R106" s="27" t="str">
        <f t="shared" si="15"/>
        <v>-</v>
      </c>
      <c r="S106" s="27" t="str">
        <f t="shared" si="16"/>
        <v>-</v>
      </c>
      <c r="T106" s="27" t="str">
        <f t="shared" si="17"/>
        <v>-</v>
      </c>
      <c r="U106" s="27" t="str">
        <f t="shared" si="18"/>
        <v>-</v>
      </c>
    </row>
    <row r="107" spans="8:21">
      <c r="H107" s="27">
        <f t="shared" si="19"/>
        <v>49188</v>
      </c>
      <c r="I107" s="27">
        <f t="shared" si="20"/>
        <v>49217</v>
      </c>
      <c r="K107">
        <f t="shared" si="12"/>
        <v>2034</v>
      </c>
      <c r="P107">
        <f t="shared" si="13"/>
        <v>0</v>
      </c>
      <c r="Q107">
        <f t="shared" si="14"/>
        <v>0</v>
      </c>
      <c r="R107" s="27" t="str">
        <f t="shared" si="15"/>
        <v>-</v>
      </c>
      <c r="S107" s="27" t="str">
        <f t="shared" si="16"/>
        <v>-</v>
      </c>
      <c r="T107" s="27" t="str">
        <f t="shared" si="17"/>
        <v>-</v>
      </c>
      <c r="U107" s="27" t="str">
        <f t="shared" si="18"/>
        <v>-</v>
      </c>
    </row>
    <row r="108" spans="8:21">
      <c r="H108" s="27">
        <f t="shared" si="19"/>
        <v>49218</v>
      </c>
      <c r="I108" s="27">
        <f t="shared" si="20"/>
        <v>49248</v>
      </c>
      <c r="K108">
        <f t="shared" si="12"/>
        <v>2034</v>
      </c>
      <c r="P108">
        <f t="shared" si="13"/>
        <v>0</v>
      </c>
      <c r="Q108">
        <f t="shared" si="14"/>
        <v>0</v>
      </c>
      <c r="R108" s="27" t="str">
        <f t="shared" si="15"/>
        <v>-</v>
      </c>
      <c r="S108" s="27" t="str">
        <f t="shared" si="16"/>
        <v>-</v>
      </c>
      <c r="T108" s="27" t="str">
        <f t="shared" si="17"/>
        <v>-</v>
      </c>
      <c r="U108" s="27" t="str">
        <f t="shared" si="18"/>
        <v>-</v>
      </c>
    </row>
    <row r="109" spans="8:21">
      <c r="H109" s="27">
        <f t="shared" si="19"/>
        <v>49249</v>
      </c>
      <c r="I109" s="27">
        <f t="shared" si="20"/>
        <v>49278</v>
      </c>
      <c r="K109">
        <f t="shared" si="12"/>
        <v>2034</v>
      </c>
      <c r="P109">
        <f t="shared" si="13"/>
        <v>0</v>
      </c>
      <c r="Q109">
        <f t="shared" si="14"/>
        <v>0</v>
      </c>
      <c r="R109" s="27" t="str">
        <f t="shared" si="15"/>
        <v>-</v>
      </c>
      <c r="S109" s="27" t="str">
        <f t="shared" si="16"/>
        <v>-</v>
      </c>
      <c r="T109" s="27" t="str">
        <f t="shared" si="17"/>
        <v>-</v>
      </c>
      <c r="U109" s="27" t="str">
        <f t="shared" si="18"/>
        <v>-</v>
      </c>
    </row>
    <row r="110" spans="8:21">
      <c r="H110" s="27">
        <f t="shared" si="19"/>
        <v>49279</v>
      </c>
      <c r="I110" s="27">
        <f t="shared" si="20"/>
        <v>49309</v>
      </c>
      <c r="K110">
        <f t="shared" si="12"/>
        <v>2034</v>
      </c>
      <c r="P110">
        <f t="shared" si="13"/>
        <v>0</v>
      </c>
      <c r="Q110">
        <f t="shared" si="14"/>
        <v>0</v>
      </c>
      <c r="R110" s="27" t="str">
        <f t="shared" si="15"/>
        <v>-</v>
      </c>
      <c r="S110" s="27" t="str">
        <f t="shared" si="16"/>
        <v>-</v>
      </c>
      <c r="T110" s="27" t="str">
        <f t="shared" si="17"/>
        <v>-</v>
      </c>
      <c r="U110" s="27" t="str">
        <f t="shared" si="18"/>
        <v>-</v>
      </c>
    </row>
    <row r="111" spans="8:21">
      <c r="H111" s="27">
        <f t="shared" si="19"/>
        <v>49310</v>
      </c>
      <c r="I111" s="27">
        <f t="shared" si="20"/>
        <v>49340</v>
      </c>
      <c r="K111">
        <f t="shared" si="12"/>
        <v>2035</v>
      </c>
      <c r="P111">
        <f t="shared" si="13"/>
        <v>0</v>
      </c>
      <c r="Q111">
        <f t="shared" si="14"/>
        <v>0</v>
      </c>
      <c r="R111" s="27" t="str">
        <f t="shared" si="15"/>
        <v>-</v>
      </c>
      <c r="S111" s="27" t="str">
        <f t="shared" si="16"/>
        <v>-</v>
      </c>
      <c r="T111" s="27" t="str">
        <f t="shared" si="17"/>
        <v>-</v>
      </c>
      <c r="U111" s="27" t="str">
        <f t="shared" si="18"/>
        <v>-</v>
      </c>
    </row>
    <row r="112" spans="8:21">
      <c r="H112" s="27">
        <f t="shared" si="19"/>
        <v>49341</v>
      </c>
      <c r="I112" s="27">
        <f t="shared" si="20"/>
        <v>49368</v>
      </c>
      <c r="K112">
        <f t="shared" si="12"/>
        <v>2035</v>
      </c>
      <c r="P112">
        <f t="shared" si="13"/>
        <v>0</v>
      </c>
      <c r="Q112">
        <f t="shared" si="14"/>
        <v>0</v>
      </c>
      <c r="R112" s="27" t="str">
        <f t="shared" si="15"/>
        <v>-</v>
      </c>
      <c r="S112" s="27" t="str">
        <f t="shared" si="16"/>
        <v>-</v>
      </c>
      <c r="T112" s="27" t="str">
        <f t="shared" si="17"/>
        <v>-</v>
      </c>
      <c r="U112" s="27" t="str">
        <f t="shared" si="18"/>
        <v>-</v>
      </c>
    </row>
    <row r="113" spans="8:21">
      <c r="H113" s="27">
        <f t="shared" si="19"/>
        <v>49369</v>
      </c>
      <c r="I113" s="27">
        <f t="shared" si="20"/>
        <v>49399</v>
      </c>
      <c r="K113">
        <f t="shared" si="12"/>
        <v>2035</v>
      </c>
      <c r="P113">
        <f t="shared" si="13"/>
        <v>0</v>
      </c>
      <c r="Q113">
        <f t="shared" si="14"/>
        <v>0</v>
      </c>
      <c r="R113" s="27" t="str">
        <f t="shared" si="15"/>
        <v>-</v>
      </c>
      <c r="S113" s="27" t="str">
        <f t="shared" si="16"/>
        <v>-</v>
      </c>
      <c r="T113" s="27" t="str">
        <f t="shared" si="17"/>
        <v>-</v>
      </c>
      <c r="U113" s="27" t="str">
        <f t="shared" si="18"/>
        <v>-</v>
      </c>
    </row>
    <row r="114" spans="8:21">
      <c r="H114" s="27">
        <f t="shared" si="19"/>
        <v>49400</v>
      </c>
      <c r="I114" s="27">
        <f t="shared" si="20"/>
        <v>49429</v>
      </c>
      <c r="K114">
        <f t="shared" si="12"/>
        <v>2035</v>
      </c>
      <c r="P114">
        <f t="shared" si="13"/>
        <v>0</v>
      </c>
      <c r="Q114">
        <f t="shared" si="14"/>
        <v>0</v>
      </c>
      <c r="R114" s="27" t="str">
        <f t="shared" si="15"/>
        <v>-</v>
      </c>
      <c r="S114" s="27" t="str">
        <f t="shared" si="16"/>
        <v>-</v>
      </c>
      <c r="T114" s="27" t="str">
        <f t="shared" si="17"/>
        <v>-</v>
      </c>
      <c r="U114" s="27" t="str">
        <f t="shared" si="18"/>
        <v>-</v>
      </c>
    </row>
    <row r="115" spans="8:21">
      <c r="H115" s="27">
        <f t="shared" si="19"/>
        <v>49430</v>
      </c>
      <c r="I115" s="27">
        <f t="shared" si="20"/>
        <v>49460</v>
      </c>
      <c r="K115">
        <f t="shared" si="12"/>
        <v>2035</v>
      </c>
      <c r="P115">
        <f t="shared" si="13"/>
        <v>0</v>
      </c>
      <c r="Q115">
        <f t="shared" si="14"/>
        <v>0</v>
      </c>
      <c r="R115" s="27" t="str">
        <f t="shared" si="15"/>
        <v>-</v>
      </c>
      <c r="S115" s="27" t="str">
        <f t="shared" si="16"/>
        <v>-</v>
      </c>
      <c r="T115" s="27" t="str">
        <f t="shared" si="17"/>
        <v>-</v>
      </c>
      <c r="U115" s="27" t="str">
        <f t="shared" si="18"/>
        <v>-</v>
      </c>
    </row>
    <row r="116" spans="8:21">
      <c r="H116" s="27">
        <f t="shared" si="19"/>
        <v>49461</v>
      </c>
      <c r="I116" s="27">
        <f t="shared" si="20"/>
        <v>49490</v>
      </c>
      <c r="K116">
        <f t="shared" si="12"/>
        <v>2035</v>
      </c>
      <c r="P116">
        <f t="shared" si="13"/>
        <v>0</v>
      </c>
      <c r="Q116">
        <f t="shared" si="14"/>
        <v>0</v>
      </c>
      <c r="R116" s="27" t="str">
        <f t="shared" si="15"/>
        <v>-</v>
      </c>
      <c r="S116" s="27" t="str">
        <f t="shared" si="16"/>
        <v>-</v>
      </c>
      <c r="T116" s="27" t="str">
        <f t="shared" si="17"/>
        <v>-</v>
      </c>
      <c r="U116" s="27" t="str">
        <f t="shared" si="18"/>
        <v>-</v>
      </c>
    </row>
    <row r="117" spans="8:21">
      <c r="H117" s="27">
        <f t="shared" si="19"/>
        <v>49491</v>
      </c>
      <c r="I117" s="27">
        <f t="shared" si="20"/>
        <v>49521</v>
      </c>
      <c r="K117">
        <f t="shared" si="12"/>
        <v>2035</v>
      </c>
      <c r="P117">
        <f t="shared" si="13"/>
        <v>0</v>
      </c>
      <c r="Q117">
        <f t="shared" si="14"/>
        <v>0</v>
      </c>
      <c r="R117" s="27" t="str">
        <f t="shared" si="15"/>
        <v>-</v>
      </c>
      <c r="S117" s="27" t="str">
        <f t="shared" si="16"/>
        <v>-</v>
      </c>
      <c r="T117" s="27" t="str">
        <f t="shared" si="17"/>
        <v>-</v>
      </c>
      <c r="U117" s="27" t="str">
        <f t="shared" si="18"/>
        <v>-</v>
      </c>
    </row>
    <row r="118" spans="8:21">
      <c r="H118" s="27">
        <f t="shared" si="19"/>
        <v>49522</v>
      </c>
      <c r="I118" s="27">
        <f t="shared" si="20"/>
        <v>49552</v>
      </c>
      <c r="K118">
        <f t="shared" si="12"/>
        <v>2035</v>
      </c>
      <c r="P118">
        <f t="shared" si="13"/>
        <v>0</v>
      </c>
      <c r="Q118">
        <f t="shared" si="14"/>
        <v>0</v>
      </c>
      <c r="R118" s="27" t="str">
        <f t="shared" si="15"/>
        <v>-</v>
      </c>
      <c r="S118" s="27" t="str">
        <f t="shared" si="16"/>
        <v>-</v>
      </c>
      <c r="T118" s="27" t="str">
        <f t="shared" si="17"/>
        <v>-</v>
      </c>
      <c r="U118" s="27" t="str">
        <f t="shared" si="18"/>
        <v>-</v>
      </c>
    </row>
    <row r="119" spans="8:21">
      <c r="H119" s="27">
        <f t="shared" si="19"/>
        <v>49553</v>
      </c>
      <c r="I119" s="27">
        <f t="shared" si="20"/>
        <v>49582</v>
      </c>
      <c r="K119">
        <f t="shared" si="12"/>
        <v>2035</v>
      </c>
      <c r="P119">
        <f t="shared" si="13"/>
        <v>0</v>
      </c>
      <c r="Q119">
        <f t="shared" si="14"/>
        <v>0</v>
      </c>
      <c r="R119" s="27" t="str">
        <f t="shared" si="15"/>
        <v>-</v>
      </c>
      <c r="S119" s="27" t="str">
        <f t="shared" si="16"/>
        <v>-</v>
      </c>
      <c r="T119" s="27" t="str">
        <f t="shared" si="17"/>
        <v>-</v>
      </c>
      <c r="U119" s="27" t="str">
        <f t="shared" si="18"/>
        <v>-</v>
      </c>
    </row>
    <row r="120" spans="8:21">
      <c r="H120" s="27">
        <f t="shared" si="19"/>
        <v>49583</v>
      </c>
      <c r="I120" s="27">
        <f t="shared" si="20"/>
        <v>49613</v>
      </c>
      <c r="K120">
        <f t="shared" si="12"/>
        <v>2035</v>
      </c>
      <c r="P120">
        <f t="shared" si="13"/>
        <v>0</v>
      </c>
      <c r="Q120">
        <f t="shared" si="14"/>
        <v>0</v>
      </c>
      <c r="R120" s="27" t="str">
        <f t="shared" si="15"/>
        <v>-</v>
      </c>
      <c r="S120" s="27" t="str">
        <f t="shared" si="16"/>
        <v>-</v>
      </c>
      <c r="T120" s="27" t="str">
        <f t="shared" si="17"/>
        <v>-</v>
      </c>
      <c r="U120" s="27" t="str">
        <f t="shared" si="18"/>
        <v>-</v>
      </c>
    </row>
    <row r="121" spans="8:21">
      <c r="H121" s="27">
        <f t="shared" si="19"/>
        <v>49614</v>
      </c>
      <c r="I121" s="27">
        <f t="shared" si="20"/>
        <v>49643</v>
      </c>
      <c r="K121">
        <f t="shared" ref="K121:K137" si="21">YEAR(H121)</f>
        <v>2035</v>
      </c>
      <c r="P121">
        <f t="shared" si="13"/>
        <v>0</v>
      </c>
      <c r="Q121">
        <f t="shared" si="14"/>
        <v>0</v>
      </c>
      <c r="R121" s="27" t="str">
        <f t="shared" si="15"/>
        <v>-</v>
      </c>
      <c r="S121" s="27" t="str">
        <f t="shared" si="16"/>
        <v>-</v>
      </c>
      <c r="T121" s="27" t="str">
        <f t="shared" si="17"/>
        <v>-</v>
      </c>
      <c r="U121" s="27" t="str">
        <f t="shared" si="18"/>
        <v>-</v>
      </c>
    </row>
    <row r="122" spans="8:21">
      <c r="H122" s="27">
        <f t="shared" si="19"/>
        <v>49644</v>
      </c>
      <c r="I122" s="27">
        <f t="shared" si="20"/>
        <v>49674</v>
      </c>
      <c r="K122">
        <f t="shared" si="21"/>
        <v>2035</v>
      </c>
      <c r="P122">
        <f t="shared" si="13"/>
        <v>0</v>
      </c>
      <c r="Q122">
        <f t="shared" si="14"/>
        <v>0</v>
      </c>
      <c r="R122" s="27" t="str">
        <f t="shared" si="15"/>
        <v>-</v>
      </c>
      <c r="S122" s="27" t="str">
        <f t="shared" si="16"/>
        <v>-</v>
      </c>
      <c r="T122" s="27" t="str">
        <f t="shared" si="17"/>
        <v>-</v>
      </c>
      <c r="U122" s="27" t="str">
        <f t="shared" si="18"/>
        <v>-</v>
      </c>
    </row>
    <row r="123" spans="8:21">
      <c r="H123" s="27">
        <f t="shared" si="19"/>
        <v>49675</v>
      </c>
      <c r="I123" s="27">
        <f t="shared" si="20"/>
        <v>49705</v>
      </c>
      <c r="K123">
        <f t="shared" si="21"/>
        <v>2036</v>
      </c>
      <c r="P123">
        <f t="shared" si="13"/>
        <v>0</v>
      </c>
      <c r="Q123">
        <f t="shared" si="14"/>
        <v>0</v>
      </c>
      <c r="R123" s="27" t="str">
        <f t="shared" si="15"/>
        <v>-</v>
      </c>
      <c r="S123" s="27" t="str">
        <f t="shared" si="16"/>
        <v>-</v>
      </c>
      <c r="T123" s="27" t="str">
        <f t="shared" si="17"/>
        <v>-</v>
      </c>
      <c r="U123" s="27" t="str">
        <f t="shared" si="18"/>
        <v>-</v>
      </c>
    </row>
    <row r="124" spans="8:21">
      <c r="H124" s="27">
        <f t="shared" si="19"/>
        <v>49706</v>
      </c>
      <c r="I124" s="27">
        <f t="shared" si="20"/>
        <v>49734</v>
      </c>
      <c r="K124">
        <f t="shared" si="21"/>
        <v>2036</v>
      </c>
      <c r="P124">
        <f t="shared" si="13"/>
        <v>0</v>
      </c>
      <c r="Q124">
        <f t="shared" si="14"/>
        <v>0</v>
      </c>
      <c r="R124" s="27" t="str">
        <f t="shared" si="15"/>
        <v>-</v>
      </c>
      <c r="S124" s="27" t="str">
        <f t="shared" si="16"/>
        <v>-</v>
      </c>
      <c r="T124" s="27" t="str">
        <f t="shared" si="17"/>
        <v>-</v>
      </c>
      <c r="U124" s="27" t="str">
        <f t="shared" si="18"/>
        <v>-</v>
      </c>
    </row>
    <row r="125" spans="8:21">
      <c r="H125" s="27">
        <f t="shared" si="19"/>
        <v>49735</v>
      </c>
      <c r="I125" s="27">
        <f t="shared" si="20"/>
        <v>49765</v>
      </c>
      <c r="K125">
        <f t="shared" si="21"/>
        <v>2036</v>
      </c>
      <c r="P125">
        <f t="shared" si="13"/>
        <v>0</v>
      </c>
      <c r="Q125">
        <f t="shared" si="14"/>
        <v>0</v>
      </c>
      <c r="R125" s="27" t="str">
        <f t="shared" si="15"/>
        <v>-</v>
      </c>
      <c r="S125" s="27" t="str">
        <f t="shared" si="16"/>
        <v>-</v>
      </c>
      <c r="T125" s="27" t="str">
        <f t="shared" si="17"/>
        <v>-</v>
      </c>
      <c r="U125" s="27" t="str">
        <f t="shared" si="18"/>
        <v>-</v>
      </c>
    </row>
    <row r="126" spans="8:21">
      <c r="H126" s="27">
        <f t="shared" si="19"/>
        <v>49766</v>
      </c>
      <c r="I126" s="27">
        <f t="shared" si="20"/>
        <v>49795</v>
      </c>
      <c r="K126">
        <f t="shared" si="21"/>
        <v>2036</v>
      </c>
      <c r="P126">
        <f t="shared" si="13"/>
        <v>0</v>
      </c>
      <c r="Q126">
        <f t="shared" si="14"/>
        <v>0</v>
      </c>
      <c r="R126" s="27" t="str">
        <f t="shared" si="15"/>
        <v>-</v>
      </c>
      <c r="S126" s="27" t="str">
        <f t="shared" si="16"/>
        <v>-</v>
      </c>
      <c r="T126" s="27" t="str">
        <f t="shared" si="17"/>
        <v>-</v>
      </c>
      <c r="U126" s="27" t="str">
        <f t="shared" si="18"/>
        <v>-</v>
      </c>
    </row>
    <row r="127" spans="8:21">
      <c r="H127" s="27">
        <f t="shared" si="19"/>
        <v>49796</v>
      </c>
      <c r="I127" s="27">
        <f t="shared" si="20"/>
        <v>49826</v>
      </c>
      <c r="K127">
        <f t="shared" si="21"/>
        <v>2036</v>
      </c>
      <c r="P127">
        <f t="shared" si="13"/>
        <v>0</v>
      </c>
      <c r="Q127">
        <f t="shared" si="14"/>
        <v>0</v>
      </c>
      <c r="R127" s="27" t="str">
        <f t="shared" si="15"/>
        <v>-</v>
      </c>
      <c r="S127" s="27" t="str">
        <f t="shared" si="16"/>
        <v>-</v>
      </c>
      <c r="T127" s="27" t="str">
        <f t="shared" si="17"/>
        <v>-</v>
      </c>
      <c r="U127" s="27" t="str">
        <f t="shared" si="18"/>
        <v>-</v>
      </c>
    </row>
    <row r="128" spans="8:21">
      <c r="H128" s="27">
        <f t="shared" si="19"/>
        <v>49827</v>
      </c>
      <c r="I128" s="27">
        <f t="shared" si="20"/>
        <v>49856</v>
      </c>
      <c r="K128">
        <f t="shared" si="21"/>
        <v>2036</v>
      </c>
      <c r="P128">
        <f t="shared" si="13"/>
        <v>0</v>
      </c>
      <c r="Q128">
        <f t="shared" si="14"/>
        <v>0</v>
      </c>
      <c r="R128" s="27" t="str">
        <f t="shared" si="15"/>
        <v>-</v>
      </c>
      <c r="S128" s="27" t="str">
        <f t="shared" si="16"/>
        <v>-</v>
      </c>
      <c r="T128" s="27" t="str">
        <f t="shared" si="17"/>
        <v>-</v>
      </c>
      <c r="U128" s="27" t="str">
        <f t="shared" si="18"/>
        <v>-</v>
      </c>
    </row>
    <row r="129" spans="8:21">
      <c r="H129" t="s">
        <v>29</v>
      </c>
      <c r="I129" t="s">
        <v>29</v>
      </c>
      <c r="K129" t="s">
        <v>29</v>
      </c>
      <c r="Q129" t="s">
        <v>29</v>
      </c>
      <c r="R129" t="s">
        <v>29</v>
      </c>
      <c r="S129" t="s">
        <v>29</v>
      </c>
      <c r="T129" t="s">
        <v>29</v>
      </c>
      <c r="U129" t="s">
        <v>29</v>
      </c>
    </row>
    <row r="130" spans="8:21">
      <c r="H130" t="s">
        <v>29</v>
      </c>
      <c r="I130" t="s">
        <v>29</v>
      </c>
      <c r="K130" t="s">
        <v>29</v>
      </c>
      <c r="Q130" t="s">
        <v>29</v>
      </c>
      <c r="R130" t="s">
        <v>29</v>
      </c>
      <c r="S130" t="s">
        <v>29</v>
      </c>
      <c r="T130" t="s">
        <v>29</v>
      </c>
      <c r="U130" t="s">
        <v>29</v>
      </c>
    </row>
    <row r="131" spans="8:21">
      <c r="H131" s="27">
        <f>DATE(YEAR(H2),12,16)</f>
        <v>46007</v>
      </c>
      <c r="I131" s="27">
        <f>DATE(YEAR(I2),12,15)</f>
        <v>46006</v>
      </c>
      <c r="K131">
        <f t="shared" si="21"/>
        <v>2025</v>
      </c>
      <c r="M131">
        <f>IF(H131&lt;$H$2,0,1)</f>
        <v>0</v>
      </c>
      <c r="N131">
        <f>IF(I131&lt;$H$2,0,1)</f>
        <v>0</v>
      </c>
      <c r="P131">
        <f t="shared" ref="P131:P137" si="22">IF(I131&lt;$N$2,1,0)</f>
        <v>1</v>
      </c>
      <c r="Q131">
        <f t="shared" ref="Q131:Q137" si="23">IF(I131&lt;$O$2,1,0)</f>
        <v>1</v>
      </c>
      <c r="R131" s="27" t="str">
        <f>IF(IFERROR(IF(H131*P131=0,"-",H131*P131)*M131,0)=0,"-",IFERROR(IF(H131*P131=0,"-",H131*P131)*M131,0))</f>
        <v>-</v>
      </c>
      <c r="S131" s="27" t="str">
        <f>IF(IFERROR(IF(I131*P131=0,"-",I131*P131)*N131,0)=0,"-",IFERROR(IF(I131*P131=0,"-",I131*P131)*N131,0))</f>
        <v>-</v>
      </c>
      <c r="T131" s="27" t="str">
        <f>IF(IFERROR(IF(H131*Q131=0,"-",H131*Q131)*M131,0)=0,"-",IFERROR(IF(H131*Q131=0,"-",H131*Q131)*M131,0))</f>
        <v>-</v>
      </c>
      <c r="U131" s="27" t="str">
        <f>IF(IFERROR(IF(I131*Q131=0,"-",I131*Q131)*N131,0)=0,"-",IFERROR(IF(I131*Q131=0,"-",I131*Q131)*N131,0))</f>
        <v>-</v>
      </c>
    </row>
    <row r="132" spans="8:21">
      <c r="H132" s="27">
        <f>DATE(YEAR(H131)+1,12,16)</f>
        <v>46372</v>
      </c>
      <c r="I132" s="27">
        <f>DATE(YEAR(I131)+1,12,15)</f>
        <v>46371</v>
      </c>
      <c r="K132">
        <f t="shared" si="21"/>
        <v>2026</v>
      </c>
      <c r="M132">
        <f t="shared" ref="M132:M154" si="24">IF(H132&lt;$H$2,0,1)</f>
        <v>1</v>
      </c>
      <c r="N132">
        <f t="shared" ref="N132:N154" si="25">IF(I132&lt;$H$2,0,1)</f>
        <v>1</v>
      </c>
      <c r="P132">
        <f t="shared" si="22"/>
        <v>1</v>
      </c>
      <c r="Q132">
        <f t="shared" si="23"/>
        <v>1</v>
      </c>
      <c r="R132" s="27">
        <f t="shared" ref="R132:R154" si="26">IF(IFERROR(IF(H132*P132=0,"-",H132*P132)*M132,0)=0,"-",IFERROR(IF(H132*P132=0,"-",H132*P132)*M132,0))</f>
        <v>46372</v>
      </c>
      <c r="S132" s="27">
        <f t="shared" ref="S132:S154" si="27">IF(IFERROR(IF(I132*P132=0,"-",I132*P132)*N132,0)=0,"-",IFERROR(IF(I132*P132=0,"-",I132*P132)*N132,0))</f>
        <v>46371</v>
      </c>
      <c r="T132" s="27">
        <f t="shared" ref="T132:T154" si="28">IF(IFERROR(IF(H132*Q132=0,"-",H132*Q132)*M132,0)=0,"-",IFERROR(IF(H132*Q132=0,"-",H132*Q132)*M132,0))</f>
        <v>46372</v>
      </c>
      <c r="U132" s="27">
        <f t="shared" ref="U132:U154" si="29">IF(IFERROR(IF(I132*Q132=0,"-",I132*Q132)*N132,0)=0,"-",IFERROR(IF(I132*Q132=0,"-",I132*Q132)*N132,0))</f>
        <v>46371</v>
      </c>
    </row>
    <row r="133" spans="8:21">
      <c r="H133" s="27">
        <f t="shared" ref="H133:H137" si="30">DATE(YEAR(H132)+1,12,16)</f>
        <v>46737</v>
      </c>
      <c r="I133" s="27">
        <f t="shared" ref="I133:I137" si="31">DATE(YEAR(I132)+1,12,15)</f>
        <v>46736</v>
      </c>
      <c r="K133">
        <f t="shared" si="21"/>
        <v>2027</v>
      </c>
      <c r="M133">
        <f t="shared" si="24"/>
        <v>1</v>
      </c>
      <c r="N133">
        <f t="shared" si="25"/>
        <v>1</v>
      </c>
      <c r="P133">
        <f t="shared" si="22"/>
        <v>1</v>
      </c>
      <c r="Q133">
        <f t="shared" si="23"/>
        <v>1</v>
      </c>
      <c r="R133" s="27">
        <f t="shared" si="26"/>
        <v>46737</v>
      </c>
      <c r="S133" s="27">
        <f t="shared" si="27"/>
        <v>46736</v>
      </c>
      <c r="T133" s="27">
        <f t="shared" si="28"/>
        <v>46737</v>
      </c>
      <c r="U133" s="27">
        <f t="shared" si="29"/>
        <v>46736</v>
      </c>
    </row>
    <row r="134" spans="8:21">
      <c r="H134" s="27">
        <f t="shared" si="30"/>
        <v>47103</v>
      </c>
      <c r="I134" s="27">
        <f t="shared" si="31"/>
        <v>47102</v>
      </c>
      <c r="K134">
        <f t="shared" si="21"/>
        <v>2028</v>
      </c>
      <c r="M134">
        <f t="shared" si="24"/>
        <v>1</v>
      </c>
      <c r="N134">
        <f t="shared" si="25"/>
        <v>1</v>
      </c>
      <c r="P134">
        <f t="shared" si="22"/>
        <v>1</v>
      </c>
      <c r="Q134">
        <f t="shared" si="23"/>
        <v>0</v>
      </c>
      <c r="R134" s="27">
        <f t="shared" si="26"/>
        <v>47103</v>
      </c>
      <c r="S134" s="27">
        <f t="shared" si="27"/>
        <v>47102</v>
      </c>
      <c r="T134" s="27" t="str">
        <f t="shared" si="28"/>
        <v>-</v>
      </c>
      <c r="U134" s="27" t="str">
        <f t="shared" si="29"/>
        <v>-</v>
      </c>
    </row>
    <row r="135" spans="8:21">
      <c r="H135" s="27">
        <f t="shared" si="30"/>
        <v>47468</v>
      </c>
      <c r="I135" s="27">
        <f t="shared" si="31"/>
        <v>47467</v>
      </c>
      <c r="K135">
        <f t="shared" si="21"/>
        <v>2029</v>
      </c>
      <c r="M135">
        <f t="shared" si="24"/>
        <v>1</v>
      </c>
      <c r="N135">
        <f t="shared" si="25"/>
        <v>1</v>
      </c>
      <c r="P135">
        <f t="shared" si="22"/>
        <v>1</v>
      </c>
      <c r="Q135">
        <f t="shared" si="23"/>
        <v>0</v>
      </c>
      <c r="R135" s="27">
        <f t="shared" si="26"/>
        <v>47468</v>
      </c>
      <c r="S135" s="27">
        <f t="shared" si="27"/>
        <v>47467</v>
      </c>
      <c r="T135" s="27" t="str">
        <f t="shared" si="28"/>
        <v>-</v>
      </c>
      <c r="U135" s="27" t="str">
        <f t="shared" si="29"/>
        <v>-</v>
      </c>
    </row>
    <row r="136" spans="8:21">
      <c r="H136" s="27">
        <f t="shared" si="30"/>
        <v>47833</v>
      </c>
      <c r="I136" s="27">
        <f t="shared" si="31"/>
        <v>47832</v>
      </c>
      <c r="K136">
        <f t="shared" si="21"/>
        <v>2030</v>
      </c>
      <c r="M136">
        <f t="shared" si="24"/>
        <v>1</v>
      </c>
      <c r="N136">
        <f t="shared" si="25"/>
        <v>1</v>
      </c>
      <c r="P136">
        <f t="shared" si="22"/>
        <v>1</v>
      </c>
      <c r="Q136">
        <f t="shared" si="23"/>
        <v>0</v>
      </c>
      <c r="R136" s="27">
        <f t="shared" si="26"/>
        <v>47833</v>
      </c>
      <c r="S136" s="27">
        <f t="shared" si="27"/>
        <v>47832</v>
      </c>
      <c r="T136" s="27" t="str">
        <f t="shared" si="28"/>
        <v>-</v>
      </c>
      <c r="U136" s="27" t="str">
        <f t="shared" si="29"/>
        <v>-</v>
      </c>
    </row>
    <row r="137" spans="8:21">
      <c r="H137" s="27">
        <f t="shared" si="30"/>
        <v>48198</v>
      </c>
      <c r="I137" s="27">
        <f t="shared" si="31"/>
        <v>48197</v>
      </c>
      <c r="K137">
        <f t="shared" si="21"/>
        <v>2031</v>
      </c>
      <c r="M137">
        <f t="shared" si="24"/>
        <v>1</v>
      </c>
      <c r="N137">
        <f t="shared" si="25"/>
        <v>1</v>
      </c>
      <c r="P137">
        <f t="shared" si="22"/>
        <v>0</v>
      </c>
      <c r="Q137">
        <f t="shared" si="23"/>
        <v>0</v>
      </c>
      <c r="R137" s="27" t="str">
        <f t="shared" si="26"/>
        <v>-</v>
      </c>
      <c r="S137" s="27" t="str">
        <f t="shared" si="27"/>
        <v>-</v>
      </c>
      <c r="T137" s="27" t="str">
        <f t="shared" si="28"/>
        <v>-</v>
      </c>
      <c r="U137" s="27" t="str">
        <f t="shared" si="29"/>
        <v>-</v>
      </c>
    </row>
    <row r="138" spans="8:21">
      <c r="H138" s="27">
        <f t="shared" ref="H138:H141" si="32">DATE(YEAR(H137)+1,12,16)</f>
        <v>48564</v>
      </c>
      <c r="I138" s="27">
        <f t="shared" ref="I138:I141" si="33">DATE(YEAR(I137)+1,12,15)</f>
        <v>48563</v>
      </c>
      <c r="K138">
        <f t="shared" ref="K138:K154" si="34">YEAR(H138)</f>
        <v>2032</v>
      </c>
      <c r="M138">
        <f t="shared" si="24"/>
        <v>1</v>
      </c>
      <c r="N138">
        <f t="shared" si="25"/>
        <v>1</v>
      </c>
      <c r="P138">
        <f t="shared" ref="P138:P141" si="35">IF(I138&lt;$N$2,1,0)</f>
        <v>0</v>
      </c>
      <c r="Q138">
        <f t="shared" ref="Q138:Q141" si="36">IF(I138&lt;$O$2,1,0)</f>
        <v>0</v>
      </c>
      <c r="R138" s="27" t="str">
        <f t="shared" si="26"/>
        <v>-</v>
      </c>
      <c r="S138" s="27" t="str">
        <f t="shared" si="27"/>
        <v>-</v>
      </c>
      <c r="T138" s="27" t="str">
        <f t="shared" si="28"/>
        <v>-</v>
      </c>
      <c r="U138" s="27" t="str">
        <f t="shared" si="29"/>
        <v>-</v>
      </c>
    </row>
    <row r="139" spans="8:21">
      <c r="H139" s="27">
        <f t="shared" si="32"/>
        <v>48929</v>
      </c>
      <c r="I139" s="27">
        <f t="shared" si="33"/>
        <v>48928</v>
      </c>
      <c r="K139">
        <f t="shared" si="34"/>
        <v>2033</v>
      </c>
      <c r="M139">
        <f t="shared" si="24"/>
        <v>1</v>
      </c>
      <c r="N139">
        <f t="shared" si="25"/>
        <v>1</v>
      </c>
      <c r="P139">
        <f t="shared" si="35"/>
        <v>0</v>
      </c>
      <c r="Q139">
        <f t="shared" si="36"/>
        <v>0</v>
      </c>
      <c r="R139" s="27" t="str">
        <f t="shared" si="26"/>
        <v>-</v>
      </c>
      <c r="S139" s="27" t="str">
        <f t="shared" si="27"/>
        <v>-</v>
      </c>
      <c r="T139" s="27" t="str">
        <f t="shared" si="28"/>
        <v>-</v>
      </c>
      <c r="U139" s="27" t="str">
        <f t="shared" si="29"/>
        <v>-</v>
      </c>
    </row>
    <row r="140" spans="8:21">
      <c r="H140" s="27">
        <f t="shared" si="32"/>
        <v>49294</v>
      </c>
      <c r="I140" s="27">
        <f t="shared" si="33"/>
        <v>49293</v>
      </c>
      <c r="K140">
        <f t="shared" si="34"/>
        <v>2034</v>
      </c>
      <c r="M140">
        <f t="shared" si="24"/>
        <v>1</v>
      </c>
      <c r="N140">
        <f t="shared" si="25"/>
        <v>1</v>
      </c>
      <c r="P140">
        <f t="shared" si="35"/>
        <v>0</v>
      </c>
      <c r="Q140">
        <f t="shared" si="36"/>
        <v>0</v>
      </c>
      <c r="R140" s="27" t="str">
        <f t="shared" si="26"/>
        <v>-</v>
      </c>
      <c r="S140" s="27" t="str">
        <f t="shared" si="27"/>
        <v>-</v>
      </c>
      <c r="T140" s="27" t="str">
        <f t="shared" si="28"/>
        <v>-</v>
      </c>
      <c r="U140" s="27" t="str">
        <f t="shared" si="29"/>
        <v>-</v>
      </c>
    </row>
    <row r="141" spans="8:21">
      <c r="H141" s="27">
        <f t="shared" si="32"/>
        <v>49659</v>
      </c>
      <c r="I141" s="27">
        <f t="shared" si="33"/>
        <v>49658</v>
      </c>
      <c r="K141">
        <f t="shared" si="34"/>
        <v>2035</v>
      </c>
      <c r="M141">
        <f t="shared" si="24"/>
        <v>1</v>
      </c>
      <c r="N141">
        <f t="shared" si="25"/>
        <v>1</v>
      </c>
      <c r="P141">
        <f t="shared" si="35"/>
        <v>0</v>
      </c>
      <c r="Q141">
        <f t="shared" si="36"/>
        <v>0</v>
      </c>
      <c r="R141" s="27" t="str">
        <f t="shared" si="26"/>
        <v>-</v>
      </c>
      <c r="S141" s="27" t="str">
        <f t="shared" si="27"/>
        <v>-</v>
      </c>
      <c r="T141" s="27" t="str">
        <f t="shared" si="28"/>
        <v>-</v>
      </c>
      <c r="U141" s="27" t="str">
        <f t="shared" si="29"/>
        <v>-</v>
      </c>
    </row>
    <row r="142" spans="8:21">
      <c r="H142" t="s">
        <v>29</v>
      </c>
      <c r="I142" t="s">
        <v>29</v>
      </c>
      <c r="K142" t="s">
        <v>29</v>
      </c>
      <c r="M142" t="s">
        <v>29</v>
      </c>
      <c r="N142" t="s">
        <v>29</v>
      </c>
      <c r="Q142" t="s">
        <v>29</v>
      </c>
      <c r="R142" s="27" t="str">
        <f t="shared" si="26"/>
        <v>-</v>
      </c>
      <c r="S142" s="27" t="str">
        <f t="shared" si="27"/>
        <v>-</v>
      </c>
      <c r="T142" s="27" t="str">
        <f t="shared" si="28"/>
        <v>-</v>
      </c>
      <c r="U142" s="27" t="str">
        <f t="shared" si="29"/>
        <v>-</v>
      </c>
    </row>
    <row r="143" spans="8:21">
      <c r="H143" t="s">
        <v>29</v>
      </c>
      <c r="I143" t="s">
        <v>29</v>
      </c>
      <c r="K143" t="s">
        <v>29</v>
      </c>
      <c r="M143" t="s">
        <v>29</v>
      </c>
      <c r="N143" t="s">
        <v>29</v>
      </c>
      <c r="Q143" t="s">
        <v>29</v>
      </c>
      <c r="R143" s="27" t="str">
        <f t="shared" si="26"/>
        <v>-</v>
      </c>
      <c r="S143" s="27" t="str">
        <f t="shared" si="27"/>
        <v>-</v>
      </c>
      <c r="T143" s="27" t="str">
        <f t="shared" si="28"/>
        <v>-</v>
      </c>
      <c r="U143" s="27" t="str">
        <f t="shared" si="29"/>
        <v>-</v>
      </c>
    </row>
    <row r="144" spans="8:21">
      <c r="H144" s="27">
        <f>DATE(YEAR(H2),6,16)</f>
        <v>45824</v>
      </c>
      <c r="I144" s="27">
        <f>DATE(YEAR(I2),6,15)</f>
        <v>45823</v>
      </c>
      <c r="K144">
        <f t="shared" si="34"/>
        <v>2025</v>
      </c>
      <c r="M144">
        <f t="shared" si="24"/>
        <v>0</v>
      </c>
      <c r="N144">
        <f t="shared" si="25"/>
        <v>0</v>
      </c>
      <c r="P144">
        <f t="shared" ref="P144:P154" si="37">IF(I144&lt;$N$2,1,0)</f>
        <v>1</v>
      </c>
      <c r="Q144">
        <f t="shared" ref="Q144:Q154" si="38">IF(I144&lt;$O$2,1,0)</f>
        <v>1</v>
      </c>
      <c r="R144" s="27" t="str">
        <f t="shared" si="26"/>
        <v>-</v>
      </c>
      <c r="S144" s="27" t="str">
        <f t="shared" si="27"/>
        <v>-</v>
      </c>
      <c r="T144" s="27" t="str">
        <f t="shared" si="28"/>
        <v>-</v>
      </c>
      <c r="U144" s="27" t="str">
        <f t="shared" si="29"/>
        <v>-</v>
      </c>
    </row>
    <row r="145" spans="8:21">
      <c r="H145" s="27">
        <f>DATE(YEAR(H144)+1,6,16)</f>
        <v>46189</v>
      </c>
      <c r="I145" s="27">
        <f>DATE(YEAR(I144)+1,6,15)</f>
        <v>46188</v>
      </c>
      <c r="K145">
        <f t="shared" si="34"/>
        <v>2026</v>
      </c>
      <c r="M145">
        <f t="shared" si="24"/>
        <v>1</v>
      </c>
      <c r="N145">
        <f t="shared" si="25"/>
        <v>1</v>
      </c>
      <c r="P145">
        <f t="shared" si="37"/>
        <v>1</v>
      </c>
      <c r="Q145">
        <f t="shared" si="38"/>
        <v>1</v>
      </c>
      <c r="R145" s="27">
        <f t="shared" si="26"/>
        <v>46189</v>
      </c>
      <c r="S145" s="27">
        <f t="shared" si="27"/>
        <v>46188</v>
      </c>
      <c r="T145" s="27">
        <f t="shared" si="28"/>
        <v>46189</v>
      </c>
      <c r="U145" s="27">
        <f t="shared" si="29"/>
        <v>46188</v>
      </c>
    </row>
    <row r="146" spans="8:21">
      <c r="H146" s="27">
        <f t="shared" ref="H146:H154" si="39">DATE(YEAR(H145)+1,6,16)</f>
        <v>46554</v>
      </c>
      <c r="I146" s="27">
        <f t="shared" ref="I146:I154" si="40">DATE(YEAR(I145)+1,6,15)</f>
        <v>46553</v>
      </c>
      <c r="K146">
        <f t="shared" si="34"/>
        <v>2027</v>
      </c>
      <c r="M146">
        <f t="shared" si="24"/>
        <v>1</v>
      </c>
      <c r="N146">
        <f t="shared" si="25"/>
        <v>1</v>
      </c>
      <c r="P146">
        <f t="shared" si="37"/>
        <v>1</v>
      </c>
      <c r="Q146">
        <f t="shared" si="38"/>
        <v>1</v>
      </c>
      <c r="R146" s="27">
        <f t="shared" si="26"/>
        <v>46554</v>
      </c>
      <c r="S146" s="27">
        <f t="shared" si="27"/>
        <v>46553</v>
      </c>
      <c r="T146" s="27">
        <f t="shared" si="28"/>
        <v>46554</v>
      </c>
      <c r="U146" s="27">
        <f t="shared" si="29"/>
        <v>46553</v>
      </c>
    </row>
    <row r="147" spans="8:21">
      <c r="H147" s="27">
        <f t="shared" si="39"/>
        <v>46920</v>
      </c>
      <c r="I147" s="27">
        <f t="shared" si="40"/>
        <v>46919</v>
      </c>
      <c r="K147">
        <f t="shared" si="34"/>
        <v>2028</v>
      </c>
      <c r="M147">
        <f t="shared" si="24"/>
        <v>1</v>
      </c>
      <c r="N147">
        <f t="shared" si="25"/>
        <v>1</v>
      </c>
      <c r="P147">
        <f t="shared" si="37"/>
        <v>1</v>
      </c>
      <c r="Q147">
        <f t="shared" si="38"/>
        <v>0</v>
      </c>
      <c r="R147" s="27">
        <f t="shared" si="26"/>
        <v>46920</v>
      </c>
      <c r="S147" s="27">
        <f t="shared" si="27"/>
        <v>46919</v>
      </c>
      <c r="T147" s="27" t="str">
        <f t="shared" si="28"/>
        <v>-</v>
      </c>
      <c r="U147" s="27" t="str">
        <f t="shared" si="29"/>
        <v>-</v>
      </c>
    </row>
    <row r="148" spans="8:21">
      <c r="H148" s="27">
        <f t="shared" si="39"/>
        <v>47285</v>
      </c>
      <c r="I148" s="27">
        <f t="shared" si="40"/>
        <v>47284</v>
      </c>
      <c r="K148">
        <f t="shared" si="34"/>
        <v>2029</v>
      </c>
      <c r="M148">
        <f t="shared" si="24"/>
        <v>1</v>
      </c>
      <c r="N148">
        <f t="shared" si="25"/>
        <v>1</v>
      </c>
      <c r="P148">
        <f t="shared" si="37"/>
        <v>1</v>
      </c>
      <c r="Q148">
        <f t="shared" si="38"/>
        <v>0</v>
      </c>
      <c r="R148" s="27">
        <f t="shared" si="26"/>
        <v>47285</v>
      </c>
      <c r="S148" s="27">
        <f t="shared" si="27"/>
        <v>47284</v>
      </c>
      <c r="T148" s="27" t="str">
        <f t="shared" si="28"/>
        <v>-</v>
      </c>
      <c r="U148" s="27" t="str">
        <f t="shared" si="29"/>
        <v>-</v>
      </c>
    </row>
    <row r="149" spans="8:21">
      <c r="H149" s="27">
        <f t="shared" si="39"/>
        <v>47650</v>
      </c>
      <c r="I149" s="27">
        <f t="shared" si="40"/>
        <v>47649</v>
      </c>
      <c r="K149">
        <f t="shared" si="34"/>
        <v>2030</v>
      </c>
      <c r="M149">
        <f t="shared" si="24"/>
        <v>1</v>
      </c>
      <c r="N149">
        <f t="shared" si="25"/>
        <v>1</v>
      </c>
      <c r="P149">
        <f t="shared" si="37"/>
        <v>1</v>
      </c>
      <c r="Q149">
        <f t="shared" si="38"/>
        <v>0</v>
      </c>
      <c r="R149" s="27">
        <f t="shared" si="26"/>
        <v>47650</v>
      </c>
      <c r="S149" s="27">
        <f t="shared" si="27"/>
        <v>47649</v>
      </c>
      <c r="T149" s="27" t="str">
        <f t="shared" si="28"/>
        <v>-</v>
      </c>
      <c r="U149" s="27" t="str">
        <f t="shared" si="29"/>
        <v>-</v>
      </c>
    </row>
    <row r="150" spans="8:21">
      <c r="H150" s="27">
        <f t="shared" si="39"/>
        <v>48015</v>
      </c>
      <c r="I150" s="27">
        <f t="shared" si="40"/>
        <v>48014</v>
      </c>
      <c r="K150">
        <f t="shared" si="34"/>
        <v>2031</v>
      </c>
      <c r="M150">
        <f t="shared" si="24"/>
        <v>1</v>
      </c>
      <c r="N150">
        <f t="shared" si="25"/>
        <v>1</v>
      </c>
      <c r="P150">
        <f t="shared" si="37"/>
        <v>0</v>
      </c>
      <c r="Q150">
        <f t="shared" si="38"/>
        <v>0</v>
      </c>
      <c r="R150" s="27" t="str">
        <f t="shared" si="26"/>
        <v>-</v>
      </c>
      <c r="S150" s="27" t="str">
        <f t="shared" si="27"/>
        <v>-</v>
      </c>
      <c r="T150" s="27" t="str">
        <f t="shared" si="28"/>
        <v>-</v>
      </c>
      <c r="U150" s="27" t="str">
        <f t="shared" si="29"/>
        <v>-</v>
      </c>
    </row>
    <row r="151" spans="8:21">
      <c r="H151" s="27">
        <f t="shared" si="39"/>
        <v>48381</v>
      </c>
      <c r="I151" s="27">
        <f t="shared" si="40"/>
        <v>48380</v>
      </c>
      <c r="K151">
        <f t="shared" si="34"/>
        <v>2032</v>
      </c>
      <c r="M151">
        <f t="shared" si="24"/>
        <v>1</v>
      </c>
      <c r="N151">
        <f t="shared" si="25"/>
        <v>1</v>
      </c>
      <c r="P151">
        <f t="shared" si="37"/>
        <v>0</v>
      </c>
      <c r="Q151">
        <f t="shared" si="38"/>
        <v>0</v>
      </c>
      <c r="R151" s="27" t="str">
        <f t="shared" si="26"/>
        <v>-</v>
      </c>
      <c r="S151" s="27" t="str">
        <f t="shared" si="27"/>
        <v>-</v>
      </c>
      <c r="T151" s="27" t="str">
        <f t="shared" si="28"/>
        <v>-</v>
      </c>
      <c r="U151" s="27" t="str">
        <f t="shared" si="29"/>
        <v>-</v>
      </c>
    </row>
    <row r="152" spans="8:21">
      <c r="H152" s="27">
        <f t="shared" si="39"/>
        <v>48746</v>
      </c>
      <c r="I152" s="27">
        <f t="shared" si="40"/>
        <v>48745</v>
      </c>
      <c r="K152">
        <f t="shared" si="34"/>
        <v>2033</v>
      </c>
      <c r="M152">
        <f t="shared" si="24"/>
        <v>1</v>
      </c>
      <c r="N152">
        <f t="shared" si="25"/>
        <v>1</v>
      </c>
      <c r="P152">
        <f t="shared" si="37"/>
        <v>0</v>
      </c>
      <c r="Q152">
        <f t="shared" si="38"/>
        <v>0</v>
      </c>
      <c r="R152" s="27" t="str">
        <f t="shared" si="26"/>
        <v>-</v>
      </c>
      <c r="S152" s="27" t="str">
        <f t="shared" si="27"/>
        <v>-</v>
      </c>
      <c r="T152" s="27" t="str">
        <f t="shared" si="28"/>
        <v>-</v>
      </c>
      <c r="U152" s="27" t="str">
        <f t="shared" si="29"/>
        <v>-</v>
      </c>
    </row>
    <row r="153" spans="8:21">
      <c r="H153" s="27">
        <f t="shared" si="39"/>
        <v>49111</v>
      </c>
      <c r="I153" s="27">
        <f t="shared" si="40"/>
        <v>49110</v>
      </c>
      <c r="K153">
        <f t="shared" si="34"/>
        <v>2034</v>
      </c>
      <c r="M153">
        <f t="shared" si="24"/>
        <v>1</v>
      </c>
      <c r="N153">
        <f t="shared" si="25"/>
        <v>1</v>
      </c>
      <c r="P153">
        <f t="shared" si="37"/>
        <v>0</v>
      </c>
      <c r="Q153">
        <f t="shared" si="38"/>
        <v>0</v>
      </c>
      <c r="R153" s="27" t="str">
        <f t="shared" si="26"/>
        <v>-</v>
      </c>
      <c r="S153" s="27" t="str">
        <f t="shared" si="27"/>
        <v>-</v>
      </c>
      <c r="T153" s="27" t="str">
        <f t="shared" si="28"/>
        <v>-</v>
      </c>
      <c r="U153" s="27" t="str">
        <f t="shared" si="29"/>
        <v>-</v>
      </c>
    </row>
    <row r="154" spans="8:21">
      <c r="H154" s="27">
        <f t="shared" si="39"/>
        <v>49476</v>
      </c>
      <c r="I154" s="27">
        <f t="shared" si="40"/>
        <v>49475</v>
      </c>
      <c r="K154">
        <f t="shared" si="34"/>
        <v>2035</v>
      </c>
      <c r="M154">
        <f t="shared" si="24"/>
        <v>1</v>
      </c>
      <c r="N154">
        <f t="shared" si="25"/>
        <v>1</v>
      </c>
      <c r="P154">
        <f t="shared" si="37"/>
        <v>0</v>
      </c>
      <c r="Q154">
        <f t="shared" si="38"/>
        <v>0</v>
      </c>
      <c r="R154" s="27" t="str">
        <f t="shared" si="26"/>
        <v>-</v>
      </c>
      <c r="S154" s="27" t="str">
        <f t="shared" si="27"/>
        <v>-</v>
      </c>
      <c r="T154" s="27" t="str">
        <f t="shared" si="28"/>
        <v>-</v>
      </c>
      <c r="U154" s="27" t="str">
        <f t="shared" si="29"/>
        <v>-</v>
      </c>
    </row>
    <row r="155" spans="8:21">
      <c r="H155" s="27"/>
      <c r="I155" s="27"/>
    </row>
    <row r="156" spans="8:21">
      <c r="H156" s="27"/>
      <c r="I156" s="27"/>
    </row>
    <row r="157" spans="8:21">
      <c r="H157" s="27"/>
      <c r="I157" s="27"/>
    </row>
    <row r="158" spans="8:21">
      <c r="H158" s="27"/>
      <c r="I158" s="27"/>
    </row>
    <row r="159" spans="8:21">
      <c r="H159" s="27"/>
      <c r="I159" s="27"/>
    </row>
  </sheetData>
  <pageMargins left="0.7" right="0.7" top="0.75" bottom="0.75" header="0.3" footer="0.3"/>
  <pageSetup scale="88" orientation="landscape" horizontalDpi="1200" verticalDpi="1200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7ED3-D019-45B7-8FA5-2D7F33E2354E}">
  <dimension ref="B1:U54"/>
  <sheetViews>
    <sheetView topLeftCell="A18" workbookViewId="0">
      <selection activeCell="F42" sqref="F42"/>
    </sheetView>
  </sheetViews>
  <sheetFormatPr defaultRowHeight="14.5"/>
  <cols>
    <col min="2" max="2" width="13.1796875" customWidth="1"/>
    <col min="3" max="4" width="15.54296875" customWidth="1"/>
    <col min="7" max="7" width="10.453125" bestFit="1" customWidth="1"/>
    <col min="13" max="13" width="8.7265625" style="174"/>
    <col min="14" max="14" width="10.81640625" customWidth="1"/>
    <col min="15" max="15" width="58.81640625" customWidth="1"/>
    <col min="16" max="20" width="10" customWidth="1"/>
  </cols>
  <sheetData>
    <row r="1" spans="2:21" ht="15" thickBot="1"/>
    <row r="2" spans="2:21">
      <c r="B2" s="6" t="s">
        <v>8</v>
      </c>
      <c r="C2" s="7"/>
      <c r="D2" s="7"/>
      <c r="E2" s="7"/>
      <c r="F2" s="7"/>
      <c r="G2" s="7"/>
      <c r="H2" s="179" t="s">
        <v>108</v>
      </c>
      <c r="I2" s="179" t="s">
        <v>109</v>
      </c>
      <c r="J2" s="179" t="s">
        <v>111</v>
      </c>
      <c r="M2" s="174" t="s">
        <v>110</v>
      </c>
      <c r="N2" t="s">
        <v>112</v>
      </c>
      <c r="P2" s="1">
        <v>1</v>
      </c>
      <c r="Q2" s="1">
        <v>2</v>
      </c>
      <c r="R2" s="1">
        <v>3</v>
      </c>
      <c r="S2" s="1">
        <v>4</v>
      </c>
      <c r="T2" s="1">
        <v>5</v>
      </c>
      <c r="U2" s="1">
        <v>6</v>
      </c>
    </row>
    <row r="3" spans="2:21">
      <c r="B3" s="8"/>
      <c r="C3" s="9" t="s">
        <v>9</v>
      </c>
      <c r="D3" s="9"/>
      <c r="E3" s="10" t="s">
        <v>10</v>
      </c>
      <c r="F3" s="10" t="s">
        <v>14</v>
      </c>
      <c r="G3" s="10" t="s">
        <v>15</v>
      </c>
      <c r="H3" s="179"/>
      <c r="I3" s="179"/>
      <c r="J3" s="179"/>
      <c r="O3" s="3" t="s">
        <v>31</v>
      </c>
      <c r="P3" s="31" t="s">
        <v>32</v>
      </c>
      <c r="Q3" s="31" t="s">
        <v>33</v>
      </c>
      <c r="R3" s="31" t="s">
        <v>34</v>
      </c>
      <c r="S3" s="31" t="s">
        <v>35</v>
      </c>
      <c r="T3" s="31" t="s">
        <v>36</v>
      </c>
      <c r="U3" s="31" t="s">
        <v>61</v>
      </c>
    </row>
    <row r="4" spans="2:21">
      <c r="B4" s="11" t="s">
        <v>5</v>
      </c>
      <c r="C4" s="10" t="s">
        <v>11</v>
      </c>
      <c r="D4" s="10" t="s">
        <v>12</v>
      </c>
      <c r="E4" s="10" t="s">
        <v>13</v>
      </c>
      <c r="F4" s="10"/>
      <c r="G4" s="10"/>
      <c r="H4" s="179"/>
      <c r="I4" s="179"/>
      <c r="J4" s="179"/>
      <c r="O4" t="s">
        <v>89</v>
      </c>
      <c r="P4" s="28">
        <v>1</v>
      </c>
      <c r="Q4" s="49">
        <v>0</v>
      </c>
      <c r="R4" s="49">
        <v>0</v>
      </c>
      <c r="S4" s="49">
        <v>0</v>
      </c>
      <c r="T4" s="49">
        <v>0</v>
      </c>
      <c r="U4" s="49">
        <v>0</v>
      </c>
    </row>
    <row r="5" spans="2:21">
      <c r="B5" s="12">
        <v>1</v>
      </c>
      <c r="C5" s="13">
        <v>42032</v>
      </c>
      <c r="D5" s="13">
        <v>42200</v>
      </c>
      <c r="E5" s="14">
        <v>2.85</v>
      </c>
      <c r="F5" s="15">
        <f>(E5+0.9)/100</f>
        <v>3.7499999999999999E-2</v>
      </c>
      <c r="G5" s="15">
        <f t="shared" ref="G5:G49" si="0">((DATE(YEAR(C5),12,31)-C5+1)*((F5/_xlfn.XLOOKUP(YEAR(C5),K:K,L:L)))/(DATE(YEAR(C5),12,31)-C5+1+_xlfn.XLOOKUP(YEAR(D5),K:K,L:L)-(DATE(YEAR(D5),12,31)-D5))+(_xlfn.XLOOKUP(YEAR(D5),K:K,L:L)-(DATE(YEAR(D5),12,31)-D5))*((F5/_xlfn.XLOOKUP(YEAR(D5),K:K,L:L)))/(DATE(YEAR(C5),12,31)-C5+1+_xlfn.XLOOKUP(YEAR(D5),K:K,L:L)-(DATE(YEAR(D5),12,31)-D5)))*100</f>
        <v>1.0273972602739727E-2</v>
      </c>
      <c r="H5" s="179">
        <f>YEAR(C5)</f>
        <v>2015</v>
      </c>
      <c r="I5" s="179">
        <f>YEAR(D5)</f>
        <v>2015</v>
      </c>
      <c r="J5" s="180">
        <f>H5-I5</f>
        <v>0</v>
      </c>
      <c r="K5">
        <v>2015</v>
      </c>
      <c r="L5">
        <v>365</v>
      </c>
      <c r="N5" s="181">
        <f>_xlfn.LET(_xlpm.startDate,C5,_xlpm.endDate,D5,_xlpm.rate,F5,_xlpm.year1,YEAR(_xlpm.startDate),_xlpm.year2,YEAR(_xlpm.endDate),_xlpm.daysInYear1,_xlfn.XLOOKUP(_xlpm.year1,K:K,L:L),_xlpm.daysInYear2,_xlfn.XLOOKUP(_xlpm.year2,K:K,L:L),_xlpm.daysStart,DATE(_xlpm.year1,12,31)-_xlpm.startDate+1,_xlpm.daysEnd,_xlpm.daysInYear2-(DATE(_xlpm.year2,12,31)-_xlpm.endDate),_xlpm.totalDays,_xlpm.daysStart+_xlpm.daysEnd,((_xlpm.daysStart*_xlpm.rate/_xlpm.daysInYear1)+(_xlpm.daysEnd*_xlpm.rate/_xlpm.daysInYear2))/_xlpm.totalDays*100)</f>
        <v>1.0273972602739725E-2</v>
      </c>
      <c r="O5" t="s">
        <v>90</v>
      </c>
      <c r="P5" s="28">
        <v>1</v>
      </c>
      <c r="Q5" s="49">
        <v>0</v>
      </c>
      <c r="R5" s="49">
        <v>0</v>
      </c>
      <c r="S5" s="49">
        <v>0</v>
      </c>
      <c r="T5" s="49">
        <v>0</v>
      </c>
      <c r="U5" s="49">
        <v>0</v>
      </c>
    </row>
    <row r="6" spans="2:21">
      <c r="B6" s="12">
        <v>2</v>
      </c>
      <c r="C6" s="16">
        <f>D5+1</f>
        <v>42201</v>
      </c>
      <c r="D6" s="13">
        <v>42202</v>
      </c>
      <c r="E6" s="14">
        <v>2.75</v>
      </c>
      <c r="F6" s="15">
        <f t="shared" ref="F6:F32" si="1">(E6+0.9)/100</f>
        <v>3.6499999999999998E-2</v>
      </c>
      <c r="G6" s="15">
        <f t="shared" si="0"/>
        <v>9.9999999999999985E-3</v>
      </c>
      <c r="H6" s="179">
        <f t="shared" ref="H6:H32" si="2">YEAR(C6)</f>
        <v>2015</v>
      </c>
      <c r="I6" s="179">
        <f t="shared" ref="I6:I32" si="3">YEAR(D6)</f>
        <v>2015</v>
      </c>
      <c r="J6" s="180">
        <f t="shared" ref="J6:J49" si="4">H6-I6</f>
        <v>0</v>
      </c>
      <c r="K6">
        <v>2016</v>
      </c>
      <c r="L6">
        <v>366</v>
      </c>
      <c r="M6" s="174">
        <f t="shared" ref="M6:M40" si="5">IF(L6-L5&lt;0,0,L6-L5)</f>
        <v>1</v>
      </c>
      <c r="N6" s="181">
        <f t="shared" ref="N6:N49" si="6">_xlfn.LET(_xlpm.startDate,C6,_xlpm.endDate,D6,_xlpm.rate,F6,_xlpm.year1,YEAR(_xlpm.startDate),_xlpm.year2,YEAR(_xlpm.endDate),_xlpm.daysInYear1,_xlfn.XLOOKUP(_xlpm.year1,K:K,L:L),_xlpm.daysInYear2,_xlfn.XLOOKUP(_xlpm.year2,K:K,L:L),_xlpm.daysStart,DATE(_xlpm.year1,12,31)-_xlpm.startDate+1,_xlpm.daysEnd,_xlpm.daysInYear2-(DATE(_xlpm.year2,12,31)-_xlpm.endDate),_xlpm.totalDays,_xlpm.daysStart+_xlpm.daysEnd,((_xlpm.daysStart*_xlpm.rate/_xlpm.daysInYear1)+(_xlpm.daysEnd*_xlpm.rate/_xlpm.daysInYear2))/_xlpm.totalDays*100)</f>
        <v>9.9999999999999985E-3</v>
      </c>
      <c r="O6" s="2" t="s">
        <v>47</v>
      </c>
      <c r="P6" s="28">
        <v>0.2</v>
      </c>
      <c r="Q6" s="28">
        <v>0.25</v>
      </c>
      <c r="R6" s="29">
        <v>0.33329999999999999</v>
      </c>
      <c r="S6" s="28">
        <v>0.5</v>
      </c>
      <c r="T6" s="28">
        <v>1</v>
      </c>
      <c r="U6" s="49">
        <v>0</v>
      </c>
    </row>
    <row r="7" spans="2:21">
      <c r="B7" s="12">
        <v>3</v>
      </c>
      <c r="C7" s="16">
        <f>D6+1</f>
        <v>42203</v>
      </c>
      <c r="D7" s="13">
        <v>42928</v>
      </c>
      <c r="E7" s="14">
        <v>2.7</v>
      </c>
      <c r="F7" s="15">
        <f t="shared" si="1"/>
        <v>3.6000000000000004E-2</v>
      </c>
      <c r="G7" s="15">
        <f t="shared" si="0"/>
        <v>9.8630136986301367E-3</v>
      </c>
      <c r="H7" s="179">
        <f t="shared" si="2"/>
        <v>2015</v>
      </c>
      <c r="I7" s="179">
        <f t="shared" si="3"/>
        <v>2017</v>
      </c>
      <c r="J7" s="180">
        <f t="shared" si="4"/>
        <v>-2</v>
      </c>
      <c r="K7">
        <v>2017</v>
      </c>
      <c r="L7">
        <v>365</v>
      </c>
      <c r="M7" s="174">
        <f t="shared" si="5"/>
        <v>0</v>
      </c>
      <c r="N7" s="181">
        <f t="shared" si="6"/>
        <v>9.8630136986301367E-3</v>
      </c>
      <c r="O7" s="2" t="s">
        <v>3</v>
      </c>
      <c r="P7" s="28">
        <v>0.2</v>
      </c>
      <c r="Q7" s="28">
        <v>0.25</v>
      </c>
      <c r="R7" s="29">
        <v>0.33329999999999999</v>
      </c>
      <c r="S7" s="28">
        <v>0.5</v>
      </c>
      <c r="T7" s="28">
        <v>1</v>
      </c>
      <c r="U7" s="49">
        <v>0</v>
      </c>
    </row>
    <row r="8" spans="2:21">
      <c r="B8" s="12">
        <v>4</v>
      </c>
      <c r="C8" s="16">
        <f t="shared" ref="C8:C11" si="7">D7+1</f>
        <v>42929</v>
      </c>
      <c r="D8" s="13">
        <v>42984</v>
      </c>
      <c r="E8" s="14">
        <v>2.95</v>
      </c>
      <c r="F8" s="15">
        <f t="shared" si="1"/>
        <v>3.85E-2</v>
      </c>
      <c r="G8" s="15">
        <f t="shared" si="0"/>
        <v>1.0547945205479451E-2</v>
      </c>
      <c r="H8" s="179">
        <f t="shared" si="2"/>
        <v>2017</v>
      </c>
      <c r="I8" s="179">
        <f t="shared" si="3"/>
        <v>2017</v>
      </c>
      <c r="J8" s="180">
        <f t="shared" si="4"/>
        <v>0</v>
      </c>
      <c r="K8">
        <v>2018</v>
      </c>
      <c r="L8">
        <v>365</v>
      </c>
      <c r="M8" s="174">
        <f t="shared" si="5"/>
        <v>0</v>
      </c>
      <c r="N8" s="181">
        <f t="shared" si="6"/>
        <v>1.0547945205479451E-2</v>
      </c>
      <c r="O8" s="2" t="s">
        <v>0</v>
      </c>
      <c r="P8" s="28">
        <v>0.25</v>
      </c>
      <c r="Q8" s="28">
        <v>0.25</v>
      </c>
      <c r="R8" s="29">
        <v>0.33329999999999999</v>
      </c>
      <c r="S8" s="28">
        <v>0.5</v>
      </c>
      <c r="T8" s="28">
        <v>1</v>
      </c>
      <c r="U8" s="49">
        <v>0</v>
      </c>
    </row>
    <row r="9" spans="2:21">
      <c r="B9" s="12">
        <v>5</v>
      </c>
      <c r="C9" s="16">
        <f t="shared" si="7"/>
        <v>42985</v>
      </c>
      <c r="D9" s="13">
        <v>43117</v>
      </c>
      <c r="E9" s="14">
        <v>3.2</v>
      </c>
      <c r="F9" s="15">
        <f t="shared" si="1"/>
        <v>4.1000000000000009E-2</v>
      </c>
      <c r="G9" s="15">
        <f t="shared" si="0"/>
        <v>1.1232876712328768E-2</v>
      </c>
      <c r="H9" s="179">
        <f t="shared" si="2"/>
        <v>2017</v>
      </c>
      <c r="I9" s="179">
        <f t="shared" si="3"/>
        <v>2018</v>
      </c>
      <c r="J9" s="180">
        <f t="shared" si="4"/>
        <v>-1</v>
      </c>
      <c r="K9">
        <v>2019</v>
      </c>
      <c r="L9">
        <v>365</v>
      </c>
      <c r="M9" s="174">
        <f t="shared" si="5"/>
        <v>0</v>
      </c>
      <c r="N9" s="181">
        <f t="shared" si="6"/>
        <v>1.123287671232877E-2</v>
      </c>
      <c r="O9" s="2" t="s">
        <v>2</v>
      </c>
      <c r="P9" s="28">
        <v>0.25</v>
      </c>
      <c r="Q9" s="28">
        <v>0.25</v>
      </c>
      <c r="R9" s="29">
        <v>0.33329999999999999</v>
      </c>
      <c r="S9" s="28">
        <v>0.5</v>
      </c>
      <c r="T9" s="28">
        <v>1</v>
      </c>
      <c r="U9" s="49">
        <v>0</v>
      </c>
    </row>
    <row r="10" spans="2:21">
      <c r="B10" s="12">
        <v>6</v>
      </c>
      <c r="C10" s="16">
        <f t="shared" si="7"/>
        <v>43118</v>
      </c>
      <c r="D10" s="13">
        <v>43292</v>
      </c>
      <c r="E10" s="14">
        <v>3.45</v>
      </c>
      <c r="F10" s="15">
        <f t="shared" si="1"/>
        <v>4.3500000000000004E-2</v>
      </c>
      <c r="G10" s="15">
        <f t="shared" si="0"/>
        <v>1.1917808219178084E-2</v>
      </c>
      <c r="H10" s="179">
        <f t="shared" si="2"/>
        <v>2018</v>
      </c>
      <c r="I10" s="179">
        <f t="shared" si="3"/>
        <v>2018</v>
      </c>
      <c r="J10" s="180">
        <f t="shared" si="4"/>
        <v>0</v>
      </c>
      <c r="K10">
        <v>2020</v>
      </c>
      <c r="L10">
        <v>366</v>
      </c>
      <c r="M10" s="174">
        <f t="shared" si="5"/>
        <v>1</v>
      </c>
      <c r="N10" s="181">
        <f t="shared" si="6"/>
        <v>1.1917808219178082E-2</v>
      </c>
      <c r="O10" s="2" t="s">
        <v>94</v>
      </c>
      <c r="P10" s="28">
        <v>0.5</v>
      </c>
      <c r="Q10" s="28">
        <v>1</v>
      </c>
      <c r="R10" s="49">
        <v>0</v>
      </c>
      <c r="S10" s="49">
        <v>0</v>
      </c>
      <c r="T10" s="49">
        <v>0</v>
      </c>
      <c r="U10" s="49">
        <v>0</v>
      </c>
    </row>
    <row r="11" spans="2:21">
      <c r="B11" s="12">
        <v>7</v>
      </c>
      <c r="C11" s="16">
        <f t="shared" si="7"/>
        <v>43293</v>
      </c>
      <c r="D11" s="13">
        <v>43397</v>
      </c>
      <c r="E11" s="14">
        <v>3.7</v>
      </c>
      <c r="F11" s="15">
        <f t="shared" si="1"/>
        <v>4.6000000000000006E-2</v>
      </c>
      <c r="G11" s="15">
        <f t="shared" si="0"/>
        <v>1.2602739726027398E-2</v>
      </c>
      <c r="H11" s="179">
        <f t="shared" si="2"/>
        <v>2018</v>
      </c>
      <c r="I11" s="179">
        <f t="shared" si="3"/>
        <v>2018</v>
      </c>
      <c r="J11" s="180">
        <f t="shared" si="4"/>
        <v>0</v>
      </c>
      <c r="K11">
        <v>2021</v>
      </c>
      <c r="L11">
        <v>365</v>
      </c>
      <c r="M11" s="174">
        <f t="shared" si="5"/>
        <v>0</v>
      </c>
      <c r="N11" s="181">
        <f t="shared" si="6"/>
        <v>1.2602739726027398E-2</v>
      </c>
      <c r="O11" s="2" t="s">
        <v>93</v>
      </c>
      <c r="P11" s="28">
        <v>0.5</v>
      </c>
      <c r="Q11" s="28">
        <v>1</v>
      </c>
      <c r="R11" s="49">
        <v>0</v>
      </c>
      <c r="S11" s="49">
        <v>0</v>
      </c>
      <c r="T11" s="49">
        <v>0</v>
      </c>
      <c r="U11" s="49">
        <v>0</v>
      </c>
    </row>
    <row r="12" spans="2:21">
      <c r="B12" s="12">
        <v>8</v>
      </c>
      <c r="C12" s="16">
        <v>43398</v>
      </c>
      <c r="D12" s="13">
        <v>43894</v>
      </c>
      <c r="E12" s="14">
        <v>3.95</v>
      </c>
      <c r="F12" s="15">
        <f t="shared" si="1"/>
        <v>4.8500000000000008E-2</v>
      </c>
      <c r="G12" s="15">
        <f t="shared" si="0"/>
        <v>1.3270068754012165E-2</v>
      </c>
      <c r="H12" s="179">
        <f t="shared" si="2"/>
        <v>2018</v>
      </c>
      <c r="I12" s="179">
        <f t="shared" si="3"/>
        <v>2020</v>
      </c>
      <c r="J12" s="180">
        <f t="shared" si="4"/>
        <v>-2</v>
      </c>
      <c r="K12">
        <v>2022</v>
      </c>
      <c r="L12">
        <v>365</v>
      </c>
      <c r="M12" s="174">
        <f t="shared" si="5"/>
        <v>0</v>
      </c>
      <c r="N12" s="181">
        <f t="shared" si="6"/>
        <v>1.3270068754012165E-2</v>
      </c>
      <c r="O12" s="2" t="s">
        <v>91</v>
      </c>
      <c r="P12" s="28">
        <v>0.5</v>
      </c>
      <c r="Q12" s="28">
        <v>1</v>
      </c>
      <c r="R12" s="49">
        <v>0</v>
      </c>
      <c r="S12" s="49">
        <v>0</v>
      </c>
      <c r="T12" s="49">
        <v>0</v>
      </c>
      <c r="U12" s="49">
        <v>0</v>
      </c>
    </row>
    <row r="13" spans="2:21">
      <c r="B13" s="12">
        <v>9</v>
      </c>
      <c r="C13" s="13">
        <f>D12+1</f>
        <v>43895</v>
      </c>
      <c r="D13" s="13">
        <v>43906</v>
      </c>
      <c r="E13" s="14">
        <v>3.45</v>
      </c>
      <c r="F13" s="15">
        <f t="shared" si="1"/>
        <v>4.3500000000000004E-2</v>
      </c>
      <c r="G13" s="15">
        <f t="shared" si="0"/>
        <v>1.1885245901639344E-2</v>
      </c>
      <c r="H13" s="179">
        <f t="shared" si="2"/>
        <v>2020</v>
      </c>
      <c r="I13" s="179">
        <f t="shared" si="3"/>
        <v>2020</v>
      </c>
      <c r="J13" s="180">
        <f t="shared" si="4"/>
        <v>0</v>
      </c>
      <c r="K13">
        <v>2023</v>
      </c>
      <c r="L13">
        <v>365</v>
      </c>
      <c r="M13" s="174">
        <f t="shared" si="5"/>
        <v>0</v>
      </c>
      <c r="N13" s="181">
        <f t="shared" si="6"/>
        <v>1.1885245901639346E-2</v>
      </c>
      <c r="O13" s="2" t="s">
        <v>92</v>
      </c>
      <c r="P13" s="28">
        <v>0.5</v>
      </c>
      <c r="Q13" s="28">
        <v>1</v>
      </c>
      <c r="R13" s="49">
        <v>0</v>
      </c>
      <c r="S13" s="49">
        <v>0</v>
      </c>
      <c r="T13" s="49">
        <v>0</v>
      </c>
      <c r="U13" s="49">
        <v>0</v>
      </c>
    </row>
    <row r="14" spans="2:21">
      <c r="B14" s="12">
        <v>10</v>
      </c>
      <c r="C14" s="13">
        <f>D13+1</f>
        <v>43907</v>
      </c>
      <c r="D14" s="13">
        <v>43919</v>
      </c>
      <c r="E14" s="14">
        <v>2.95</v>
      </c>
      <c r="F14" s="15">
        <f t="shared" si="1"/>
        <v>3.85E-2</v>
      </c>
      <c r="G14" s="15">
        <f t="shared" si="0"/>
        <v>1.0519125683060109E-2</v>
      </c>
      <c r="H14" s="179">
        <f t="shared" si="2"/>
        <v>2020</v>
      </c>
      <c r="I14" s="179">
        <f t="shared" si="3"/>
        <v>2020</v>
      </c>
      <c r="J14" s="180">
        <f t="shared" si="4"/>
        <v>0</v>
      </c>
      <c r="K14">
        <v>2024</v>
      </c>
      <c r="L14">
        <v>366</v>
      </c>
      <c r="M14" s="174">
        <f t="shared" si="5"/>
        <v>1</v>
      </c>
      <c r="N14" s="181">
        <f t="shared" si="6"/>
        <v>1.0519125683060111E-2</v>
      </c>
      <c r="O14" s="2"/>
    </row>
    <row r="15" spans="2:21">
      <c r="B15" s="12">
        <v>11</v>
      </c>
      <c r="C15" s="13">
        <f>D14+1</f>
        <v>43920</v>
      </c>
      <c r="D15" s="13">
        <v>44622</v>
      </c>
      <c r="E15" s="14">
        <v>2.4500000000000002</v>
      </c>
      <c r="F15" s="15">
        <f t="shared" si="1"/>
        <v>3.3500000000000002E-2</v>
      </c>
      <c r="G15" s="15">
        <f t="shared" si="0"/>
        <v>9.157531146035007E-3</v>
      </c>
      <c r="H15" s="179">
        <f t="shared" si="2"/>
        <v>2020</v>
      </c>
      <c r="I15" s="179">
        <f t="shared" si="3"/>
        <v>2022</v>
      </c>
      <c r="J15" s="180">
        <f t="shared" si="4"/>
        <v>-2</v>
      </c>
      <c r="K15">
        <v>2025</v>
      </c>
      <c r="L15">
        <v>365</v>
      </c>
      <c r="M15" s="174">
        <f t="shared" si="5"/>
        <v>0</v>
      </c>
      <c r="N15" s="181">
        <f t="shared" si="6"/>
        <v>9.157531146035007E-3</v>
      </c>
      <c r="O15" s="2"/>
    </row>
    <row r="16" spans="2:21">
      <c r="B16" s="12">
        <v>12</v>
      </c>
      <c r="C16" s="13">
        <f>D15+1</f>
        <v>44623</v>
      </c>
      <c r="D16" s="13">
        <v>44664</v>
      </c>
      <c r="E16" s="14">
        <v>2.7</v>
      </c>
      <c r="F16" s="15">
        <f t="shared" si="1"/>
        <v>3.6000000000000004E-2</v>
      </c>
      <c r="G16" s="15">
        <f t="shared" si="0"/>
        <v>9.8630136986301385E-3</v>
      </c>
      <c r="H16" s="179">
        <f t="shared" si="2"/>
        <v>2022</v>
      </c>
      <c r="I16" s="179">
        <f t="shared" si="3"/>
        <v>2022</v>
      </c>
      <c r="J16" s="180">
        <f t="shared" si="4"/>
        <v>0</v>
      </c>
      <c r="K16">
        <v>2026</v>
      </c>
      <c r="L16">
        <v>365</v>
      </c>
      <c r="M16" s="174">
        <f t="shared" si="5"/>
        <v>0</v>
      </c>
      <c r="N16" s="181">
        <f t="shared" si="6"/>
        <v>9.8630136986301367E-3</v>
      </c>
      <c r="O16" s="2"/>
    </row>
    <row r="17" spans="2:17">
      <c r="B17" s="12">
        <v>13</v>
      </c>
      <c r="C17" s="13">
        <f t="shared" ref="C17:C28" si="8">D16+1</f>
        <v>44665</v>
      </c>
      <c r="D17" s="13">
        <v>44713</v>
      </c>
      <c r="E17" s="14">
        <v>3.2</v>
      </c>
      <c r="F17" s="15">
        <f t="shared" si="1"/>
        <v>4.1000000000000009E-2</v>
      </c>
      <c r="G17" s="15">
        <f t="shared" si="0"/>
        <v>1.1232876712328768E-2</v>
      </c>
      <c r="H17" s="179">
        <f t="shared" si="2"/>
        <v>2022</v>
      </c>
      <c r="I17" s="179">
        <f t="shared" si="3"/>
        <v>2022</v>
      </c>
      <c r="J17" s="180">
        <f t="shared" si="4"/>
        <v>0</v>
      </c>
      <c r="K17">
        <v>2027</v>
      </c>
      <c r="L17">
        <v>365</v>
      </c>
      <c r="M17" s="174">
        <f t="shared" si="5"/>
        <v>0</v>
      </c>
      <c r="N17" s="181">
        <f t="shared" si="6"/>
        <v>1.123287671232877E-2</v>
      </c>
      <c r="O17" s="2"/>
    </row>
    <row r="18" spans="2:17">
      <c r="B18" s="12">
        <v>14</v>
      </c>
      <c r="C18" s="13">
        <f t="shared" si="8"/>
        <v>44714</v>
      </c>
      <c r="D18" s="13">
        <v>44755</v>
      </c>
      <c r="E18" s="14">
        <v>3.7</v>
      </c>
      <c r="F18" s="15">
        <f t="shared" si="1"/>
        <v>4.6000000000000006E-2</v>
      </c>
      <c r="G18" s="15">
        <f t="shared" si="0"/>
        <v>1.2602739726027398E-2</v>
      </c>
      <c r="H18" s="179">
        <f t="shared" si="2"/>
        <v>2022</v>
      </c>
      <c r="I18" s="179">
        <f t="shared" si="3"/>
        <v>2022</v>
      </c>
      <c r="J18" s="180">
        <f t="shared" si="4"/>
        <v>0</v>
      </c>
      <c r="K18">
        <v>2028</v>
      </c>
      <c r="L18">
        <v>366</v>
      </c>
      <c r="M18" s="174">
        <f t="shared" si="5"/>
        <v>1</v>
      </c>
      <c r="N18" s="181">
        <f t="shared" si="6"/>
        <v>1.2602739726027398E-2</v>
      </c>
      <c r="O18" s="2"/>
    </row>
    <row r="19" spans="2:17">
      <c r="B19" s="12">
        <v>15</v>
      </c>
      <c r="C19" s="13">
        <f t="shared" si="8"/>
        <v>44756</v>
      </c>
      <c r="D19" s="13">
        <v>44811</v>
      </c>
      <c r="E19" s="14">
        <v>4.7</v>
      </c>
      <c r="F19" s="15">
        <f t="shared" si="1"/>
        <v>5.6000000000000008E-2</v>
      </c>
      <c r="G19" s="15">
        <f t="shared" si="0"/>
        <v>1.5342465753424661E-2</v>
      </c>
      <c r="H19" s="179">
        <f t="shared" si="2"/>
        <v>2022</v>
      </c>
      <c r="I19" s="179">
        <f t="shared" si="3"/>
        <v>2022</v>
      </c>
      <c r="J19" s="180">
        <f t="shared" si="4"/>
        <v>0</v>
      </c>
      <c r="K19">
        <v>2029</v>
      </c>
      <c r="L19">
        <v>365</v>
      </c>
      <c r="M19" s="174">
        <f t="shared" si="5"/>
        <v>0</v>
      </c>
      <c r="N19" s="181">
        <f t="shared" si="6"/>
        <v>1.5342465753424657E-2</v>
      </c>
      <c r="O19" s="32" t="s">
        <v>48</v>
      </c>
    </row>
    <row r="20" spans="2:17">
      <c r="B20" s="12">
        <v>16</v>
      </c>
      <c r="C20" s="13">
        <f t="shared" si="8"/>
        <v>44812</v>
      </c>
      <c r="D20" s="13">
        <v>44860</v>
      </c>
      <c r="E20" s="14">
        <v>5.45</v>
      </c>
      <c r="F20" s="15">
        <f t="shared" si="1"/>
        <v>6.3500000000000001E-2</v>
      </c>
      <c r="G20" s="15">
        <f t="shared" si="0"/>
        <v>1.7397260273972603E-2</v>
      </c>
      <c r="H20" s="179">
        <f t="shared" si="2"/>
        <v>2022</v>
      </c>
      <c r="I20" s="179">
        <f t="shared" si="3"/>
        <v>2022</v>
      </c>
      <c r="J20" s="180">
        <f t="shared" si="4"/>
        <v>0</v>
      </c>
      <c r="K20">
        <v>2030</v>
      </c>
      <c r="L20">
        <v>365</v>
      </c>
      <c r="M20" s="174">
        <f t="shared" si="5"/>
        <v>0</v>
      </c>
      <c r="N20" s="181">
        <f t="shared" si="6"/>
        <v>1.7397260273972603E-2</v>
      </c>
      <c r="O20" s="32" t="s">
        <v>49</v>
      </c>
    </row>
    <row r="21" spans="2:17">
      <c r="B21" s="12">
        <v>17</v>
      </c>
      <c r="C21" s="13">
        <f t="shared" si="8"/>
        <v>44861</v>
      </c>
      <c r="D21" s="13">
        <v>44902</v>
      </c>
      <c r="E21" s="14">
        <v>5.95</v>
      </c>
      <c r="F21" s="15">
        <f t="shared" si="1"/>
        <v>6.8500000000000005E-2</v>
      </c>
      <c r="G21" s="15">
        <f t="shared" si="0"/>
        <v>1.8767123287671234E-2</v>
      </c>
      <c r="H21" s="179">
        <f t="shared" si="2"/>
        <v>2022</v>
      </c>
      <c r="I21" s="179">
        <f t="shared" si="3"/>
        <v>2022</v>
      </c>
      <c r="J21" s="180">
        <f t="shared" si="4"/>
        <v>0</v>
      </c>
      <c r="K21">
        <v>2031</v>
      </c>
      <c r="L21">
        <v>365</v>
      </c>
      <c r="M21" s="174">
        <f t="shared" si="5"/>
        <v>0</v>
      </c>
      <c r="N21" s="181">
        <f t="shared" si="6"/>
        <v>1.8767123287671234E-2</v>
      </c>
      <c r="O21" s="32" t="s">
        <v>50</v>
      </c>
    </row>
    <row r="22" spans="2:17">
      <c r="B22" s="12">
        <v>18</v>
      </c>
      <c r="C22" s="13">
        <f t="shared" si="8"/>
        <v>44903</v>
      </c>
      <c r="D22" s="13">
        <v>44951</v>
      </c>
      <c r="E22" s="14">
        <v>6.45</v>
      </c>
      <c r="F22" s="15">
        <f t="shared" si="1"/>
        <v>7.350000000000001E-2</v>
      </c>
      <c r="G22" s="15">
        <f t="shared" si="0"/>
        <v>2.0136986301369866E-2</v>
      </c>
      <c r="H22" s="179">
        <f t="shared" si="2"/>
        <v>2022</v>
      </c>
      <c r="I22" s="179">
        <f t="shared" si="3"/>
        <v>2023</v>
      </c>
      <c r="J22" s="180">
        <f t="shared" si="4"/>
        <v>-1</v>
      </c>
      <c r="K22">
        <v>2032</v>
      </c>
      <c r="L22">
        <v>366</v>
      </c>
      <c r="M22" s="174">
        <f t="shared" si="5"/>
        <v>1</v>
      </c>
      <c r="N22" s="181">
        <f t="shared" si="6"/>
        <v>2.0136986301369866E-2</v>
      </c>
      <c r="O22" s="32" t="s">
        <v>51</v>
      </c>
    </row>
    <row r="23" spans="2:17">
      <c r="B23" s="12">
        <v>19</v>
      </c>
      <c r="C23" s="13">
        <f t="shared" si="8"/>
        <v>44952</v>
      </c>
      <c r="D23" s="13">
        <v>45084</v>
      </c>
      <c r="E23" s="14">
        <v>6.7</v>
      </c>
      <c r="F23" s="15">
        <f t="shared" si="1"/>
        <v>7.6000000000000012E-2</v>
      </c>
      <c r="G23" s="15">
        <f t="shared" si="0"/>
        <v>2.0821917808219185E-2</v>
      </c>
      <c r="H23" s="179">
        <f t="shared" si="2"/>
        <v>2023</v>
      </c>
      <c r="I23" s="179">
        <f t="shared" si="3"/>
        <v>2023</v>
      </c>
      <c r="J23" s="180">
        <f t="shared" si="4"/>
        <v>0</v>
      </c>
      <c r="K23">
        <v>2033</v>
      </c>
      <c r="L23">
        <v>365</v>
      </c>
      <c r="M23" s="174">
        <f t="shared" si="5"/>
        <v>0</v>
      </c>
      <c r="N23" s="181">
        <f t="shared" si="6"/>
        <v>2.0821917808219181E-2</v>
      </c>
      <c r="O23" s="32" t="s">
        <v>52</v>
      </c>
    </row>
    <row r="24" spans="2:17">
      <c r="B24" s="12">
        <v>20</v>
      </c>
      <c r="C24" s="13">
        <f t="shared" si="8"/>
        <v>45085</v>
      </c>
      <c r="D24" s="13">
        <v>45119</v>
      </c>
      <c r="E24" s="14">
        <v>6.95</v>
      </c>
      <c r="F24" s="15">
        <f t="shared" si="1"/>
        <v>7.85E-2</v>
      </c>
      <c r="G24" s="15">
        <f t="shared" si="0"/>
        <v>2.1506849315068497E-2</v>
      </c>
      <c r="H24" s="179">
        <f t="shared" si="2"/>
        <v>2023</v>
      </c>
      <c r="I24" s="179">
        <f t="shared" si="3"/>
        <v>2023</v>
      </c>
      <c r="J24" s="180">
        <f t="shared" si="4"/>
        <v>0</v>
      </c>
      <c r="K24">
        <v>2034</v>
      </c>
      <c r="L24">
        <v>365</v>
      </c>
      <c r="M24" s="174">
        <f t="shared" si="5"/>
        <v>0</v>
      </c>
      <c r="N24" s="181">
        <f t="shared" si="6"/>
        <v>2.1506849315068494E-2</v>
      </c>
      <c r="O24" s="32" t="s">
        <v>53</v>
      </c>
    </row>
    <row r="25" spans="2:17">
      <c r="B25" s="12">
        <v>21</v>
      </c>
      <c r="C25" s="13">
        <f t="shared" si="8"/>
        <v>45120</v>
      </c>
      <c r="D25" s="13">
        <v>45448</v>
      </c>
      <c r="E25" s="14">
        <v>7.2</v>
      </c>
      <c r="F25" s="15">
        <f t="shared" si="1"/>
        <v>8.1000000000000003E-2</v>
      </c>
      <c r="G25" s="15">
        <f t="shared" si="0"/>
        <v>2.2162846399101183E-2</v>
      </c>
      <c r="H25" s="179">
        <f t="shared" si="2"/>
        <v>2023</v>
      </c>
      <c r="I25" s="179">
        <f t="shared" si="3"/>
        <v>2024</v>
      </c>
      <c r="J25" s="180">
        <f t="shared" si="4"/>
        <v>-1</v>
      </c>
      <c r="K25">
        <v>2035</v>
      </c>
      <c r="L25">
        <v>365</v>
      </c>
      <c r="M25" s="174">
        <f t="shared" si="5"/>
        <v>0</v>
      </c>
      <c r="N25" s="181">
        <f t="shared" si="6"/>
        <v>2.2162846399101183E-2</v>
      </c>
      <c r="O25" s="32" t="s">
        <v>54</v>
      </c>
    </row>
    <row r="26" spans="2:17">
      <c r="B26" s="12">
        <v>22</v>
      </c>
      <c r="C26" s="13">
        <f t="shared" si="8"/>
        <v>45449</v>
      </c>
      <c r="D26" s="13">
        <v>45497</v>
      </c>
      <c r="E26" s="14">
        <v>6.95</v>
      </c>
      <c r="F26" s="15">
        <f t="shared" si="1"/>
        <v>7.85E-2</v>
      </c>
      <c r="G26" s="15">
        <f t="shared" si="0"/>
        <v>2.1448087431693987E-2</v>
      </c>
      <c r="H26" s="179">
        <f t="shared" si="2"/>
        <v>2024</v>
      </c>
      <c r="I26" s="179">
        <f t="shared" si="3"/>
        <v>2024</v>
      </c>
      <c r="J26" s="180">
        <f t="shared" si="4"/>
        <v>0</v>
      </c>
      <c r="K26">
        <v>2036</v>
      </c>
      <c r="L26">
        <v>366</v>
      </c>
      <c r="M26" s="174">
        <f t="shared" si="5"/>
        <v>1</v>
      </c>
      <c r="N26" s="181">
        <f t="shared" si="6"/>
        <v>2.1448087431693987E-2</v>
      </c>
      <c r="O26" s="32" t="s">
        <v>55</v>
      </c>
    </row>
    <row r="27" spans="2:17">
      <c r="B27" s="12">
        <v>23</v>
      </c>
      <c r="C27" s="13">
        <f t="shared" si="8"/>
        <v>45498</v>
      </c>
      <c r="D27" s="13">
        <v>45539</v>
      </c>
      <c r="E27" s="14">
        <v>6.7</v>
      </c>
      <c r="F27" s="15">
        <f t="shared" si="1"/>
        <v>7.6000000000000012E-2</v>
      </c>
      <c r="G27" s="15">
        <f t="shared" si="0"/>
        <v>2.0765027322404376E-2</v>
      </c>
      <c r="H27" s="179">
        <f t="shared" si="2"/>
        <v>2024</v>
      </c>
      <c r="I27" s="179">
        <f t="shared" si="3"/>
        <v>2024</v>
      </c>
      <c r="J27" s="180">
        <f t="shared" si="4"/>
        <v>0</v>
      </c>
      <c r="K27">
        <v>2037</v>
      </c>
      <c r="L27">
        <v>365</v>
      </c>
      <c r="M27" s="174">
        <f t="shared" si="5"/>
        <v>0</v>
      </c>
      <c r="N27" s="181">
        <f t="shared" si="6"/>
        <v>2.0765027322404372E-2</v>
      </c>
      <c r="O27" s="32" t="s">
        <v>56</v>
      </c>
    </row>
    <row r="28" spans="2:17">
      <c r="B28" s="12">
        <v>24</v>
      </c>
      <c r="C28" s="13">
        <f t="shared" si="8"/>
        <v>45540</v>
      </c>
      <c r="D28" s="13">
        <v>45588</v>
      </c>
      <c r="E28" s="14">
        <v>6.45</v>
      </c>
      <c r="F28" s="15">
        <f t="shared" si="1"/>
        <v>7.350000000000001E-2</v>
      </c>
      <c r="G28" s="15">
        <f t="shared" si="0"/>
        <v>2.0081967213114758E-2</v>
      </c>
      <c r="H28" s="179">
        <f t="shared" si="2"/>
        <v>2024</v>
      </c>
      <c r="I28" s="179">
        <f t="shared" si="3"/>
        <v>2024</v>
      </c>
      <c r="J28" s="180">
        <f t="shared" si="4"/>
        <v>0</v>
      </c>
      <c r="K28">
        <v>2038</v>
      </c>
      <c r="L28">
        <v>365</v>
      </c>
      <c r="M28" s="174">
        <f t="shared" si="5"/>
        <v>0</v>
      </c>
      <c r="N28" s="181">
        <f t="shared" si="6"/>
        <v>2.0081967213114758E-2</v>
      </c>
      <c r="O28" s="32" t="s">
        <v>57</v>
      </c>
    </row>
    <row r="29" spans="2:17">
      <c r="B29" s="12">
        <v>25</v>
      </c>
      <c r="C29" s="13">
        <f>D28+1</f>
        <v>45589</v>
      </c>
      <c r="D29" s="13">
        <v>45637</v>
      </c>
      <c r="E29" s="14">
        <v>5.95</v>
      </c>
      <c r="F29" s="15">
        <f t="shared" si="1"/>
        <v>6.8500000000000005E-2</v>
      </c>
      <c r="G29" s="15">
        <f t="shared" si="0"/>
        <v>1.8715846994535521E-2</v>
      </c>
      <c r="H29" s="179">
        <f t="shared" si="2"/>
        <v>2024</v>
      </c>
      <c r="I29" s="179">
        <f t="shared" si="3"/>
        <v>2024</v>
      </c>
      <c r="J29" s="180">
        <f t="shared" si="4"/>
        <v>0</v>
      </c>
      <c r="K29">
        <v>2039</v>
      </c>
      <c r="L29">
        <v>365</v>
      </c>
      <c r="M29" s="174">
        <f t="shared" si="5"/>
        <v>0</v>
      </c>
      <c r="N29" s="181">
        <f t="shared" si="6"/>
        <v>1.8715846994535521E-2</v>
      </c>
    </row>
    <row r="30" spans="2:17">
      <c r="B30" s="12">
        <v>26</v>
      </c>
      <c r="C30" s="13">
        <f>D29+1</f>
        <v>45638</v>
      </c>
      <c r="D30" s="13">
        <v>45686</v>
      </c>
      <c r="E30" s="14">
        <v>5.45</v>
      </c>
      <c r="F30" s="15">
        <f t="shared" si="1"/>
        <v>6.3500000000000001E-2</v>
      </c>
      <c r="G30" s="15">
        <f t="shared" si="0"/>
        <v>1.737785884621084E-2</v>
      </c>
      <c r="H30" s="179">
        <f t="shared" si="2"/>
        <v>2024</v>
      </c>
      <c r="I30" s="179">
        <f t="shared" si="3"/>
        <v>2025</v>
      </c>
      <c r="J30" s="180">
        <f t="shared" si="4"/>
        <v>-1</v>
      </c>
      <c r="K30">
        <v>2040</v>
      </c>
      <c r="L30">
        <v>366</v>
      </c>
      <c r="M30" s="174">
        <f t="shared" si="5"/>
        <v>1</v>
      </c>
      <c r="N30" s="181">
        <f t="shared" si="6"/>
        <v>1.737785884621084E-2</v>
      </c>
      <c r="O30" s="175"/>
      <c r="Q30" s="176"/>
    </row>
    <row r="31" spans="2:17">
      <c r="B31" s="12">
        <v>27</v>
      </c>
      <c r="C31" s="13">
        <v>45687</v>
      </c>
      <c r="D31" s="13">
        <v>45728</v>
      </c>
      <c r="E31" s="14">
        <v>5.2</v>
      </c>
      <c r="F31" s="15">
        <f t="shared" si="1"/>
        <v>6.1000000000000006E-2</v>
      </c>
      <c r="G31" s="15">
        <f t="shared" si="0"/>
        <v>1.671232876712329E-2</v>
      </c>
      <c r="H31" s="179">
        <f t="shared" si="2"/>
        <v>2025</v>
      </c>
      <c r="I31" s="179">
        <f t="shared" si="3"/>
        <v>2025</v>
      </c>
      <c r="J31" s="180">
        <f t="shared" si="4"/>
        <v>0</v>
      </c>
      <c r="K31">
        <v>2041</v>
      </c>
      <c r="L31">
        <v>365</v>
      </c>
      <c r="M31" s="174">
        <f t="shared" si="5"/>
        <v>0</v>
      </c>
      <c r="N31" s="181">
        <f t="shared" si="6"/>
        <v>1.6712328767123287E-2</v>
      </c>
      <c r="O31" s="175"/>
    </row>
    <row r="32" spans="2:17">
      <c r="B32" s="12">
        <v>28</v>
      </c>
      <c r="C32" s="13">
        <v>45729</v>
      </c>
      <c r="D32" s="13">
        <v>45917</v>
      </c>
      <c r="E32" s="14">
        <v>4.95</v>
      </c>
      <c r="F32" s="15">
        <f t="shared" si="1"/>
        <v>5.8500000000000003E-2</v>
      </c>
      <c r="G32" s="15">
        <f t="shared" si="0"/>
        <v>1.6027397260273978E-2</v>
      </c>
      <c r="H32" s="179">
        <f t="shared" si="2"/>
        <v>2025</v>
      </c>
      <c r="I32" s="179">
        <f t="shared" si="3"/>
        <v>2025</v>
      </c>
      <c r="J32" s="180">
        <f t="shared" si="4"/>
        <v>0</v>
      </c>
      <c r="K32">
        <v>2042</v>
      </c>
      <c r="L32">
        <v>365</v>
      </c>
      <c r="M32" s="174">
        <f t="shared" si="5"/>
        <v>0</v>
      </c>
      <c r="N32" s="181">
        <f t="shared" si="6"/>
        <v>1.6027397260273971E-2</v>
      </c>
      <c r="O32" s="175"/>
    </row>
    <row r="33" spans="2:15">
      <c r="B33" s="12">
        <v>29</v>
      </c>
      <c r="C33" s="13">
        <f>D32+1</f>
        <v>45918</v>
      </c>
      <c r="D33" s="13">
        <v>45959</v>
      </c>
      <c r="E33" s="14">
        <v>4.7</v>
      </c>
      <c r="F33" s="15">
        <f t="shared" ref="F33:F49" si="9">(E33+0.9)/100</f>
        <v>5.6000000000000008E-2</v>
      </c>
      <c r="G33" s="15">
        <f t="shared" si="0"/>
        <v>1.5342465753424661E-2</v>
      </c>
      <c r="H33" s="179">
        <f t="shared" ref="H33:H49" si="10">YEAR(C33)</f>
        <v>2025</v>
      </c>
      <c r="I33" s="179">
        <f t="shared" ref="I33:I49" si="11">YEAR(D33)</f>
        <v>2025</v>
      </c>
      <c r="J33" s="180">
        <f t="shared" si="4"/>
        <v>0</v>
      </c>
      <c r="K33">
        <v>2043</v>
      </c>
      <c r="L33">
        <v>365</v>
      </c>
      <c r="M33" s="174">
        <f t="shared" si="5"/>
        <v>0</v>
      </c>
      <c r="N33" s="181">
        <f t="shared" si="6"/>
        <v>1.5342465753424661E-2</v>
      </c>
    </row>
    <row r="34" spans="2:15">
      <c r="B34" s="12">
        <v>30</v>
      </c>
      <c r="C34" s="13">
        <f t="shared" ref="C34:C49" si="12">D33+1</f>
        <v>45960</v>
      </c>
      <c r="D34" s="13">
        <f t="shared" ref="D34:D49" si="13">DATE(YEAR(C34),12,31)</f>
        <v>46022</v>
      </c>
      <c r="E34" s="14">
        <v>4.45</v>
      </c>
      <c r="F34" s="15">
        <f t="shared" si="9"/>
        <v>5.3500000000000006E-2</v>
      </c>
      <c r="G34" s="15">
        <f t="shared" si="0"/>
        <v>1.4657534246575345E-2</v>
      </c>
      <c r="H34" s="179">
        <f t="shared" si="10"/>
        <v>2025</v>
      </c>
      <c r="I34" s="179">
        <f t="shared" si="11"/>
        <v>2025</v>
      </c>
      <c r="J34" s="180">
        <f t="shared" si="4"/>
        <v>0</v>
      </c>
      <c r="K34">
        <v>2044</v>
      </c>
      <c r="L34">
        <v>366</v>
      </c>
      <c r="M34" s="174">
        <f t="shared" si="5"/>
        <v>1</v>
      </c>
      <c r="N34" s="181">
        <f t="shared" si="6"/>
        <v>1.4657534246575345E-2</v>
      </c>
    </row>
    <row r="35" spans="2:15">
      <c r="B35" s="12">
        <v>31</v>
      </c>
      <c r="C35" s="13">
        <f t="shared" si="12"/>
        <v>46023</v>
      </c>
      <c r="D35" s="13">
        <f t="shared" si="13"/>
        <v>46387</v>
      </c>
      <c r="E35" s="14">
        <v>4.45</v>
      </c>
      <c r="F35" s="15">
        <f t="shared" si="9"/>
        <v>5.3500000000000006E-2</v>
      </c>
      <c r="G35" s="15">
        <f t="shared" si="0"/>
        <v>1.4657534246575345E-2</v>
      </c>
      <c r="H35" s="179">
        <f t="shared" si="10"/>
        <v>2026</v>
      </c>
      <c r="I35" s="179">
        <f t="shared" si="11"/>
        <v>2026</v>
      </c>
      <c r="J35" s="180">
        <f t="shared" si="4"/>
        <v>0</v>
      </c>
      <c r="K35">
        <v>2045</v>
      </c>
      <c r="L35">
        <v>365</v>
      </c>
      <c r="M35" s="174">
        <f t="shared" si="5"/>
        <v>0</v>
      </c>
      <c r="N35" s="181">
        <f t="shared" si="6"/>
        <v>1.4657534246575345E-2</v>
      </c>
    </row>
    <row r="36" spans="2:15">
      <c r="B36" s="12">
        <v>32</v>
      </c>
      <c r="C36" s="13">
        <f t="shared" si="12"/>
        <v>46388</v>
      </c>
      <c r="D36" s="13">
        <f t="shared" si="13"/>
        <v>46752</v>
      </c>
      <c r="E36" s="14">
        <v>4.45</v>
      </c>
      <c r="F36" s="15">
        <f t="shared" si="9"/>
        <v>5.3500000000000006E-2</v>
      </c>
      <c r="G36" s="15">
        <f t="shared" si="0"/>
        <v>1.4657534246575345E-2</v>
      </c>
      <c r="H36" s="179">
        <f t="shared" si="10"/>
        <v>2027</v>
      </c>
      <c r="I36" s="179">
        <f t="shared" si="11"/>
        <v>2027</v>
      </c>
      <c r="J36" s="180">
        <f t="shared" si="4"/>
        <v>0</v>
      </c>
      <c r="K36">
        <v>2046</v>
      </c>
      <c r="L36">
        <v>365</v>
      </c>
      <c r="M36" s="174">
        <f t="shared" si="5"/>
        <v>0</v>
      </c>
      <c r="N36" s="181">
        <f t="shared" si="6"/>
        <v>1.4657534246575345E-2</v>
      </c>
      <c r="O36" s="49"/>
    </row>
    <row r="37" spans="2:15">
      <c r="B37" s="12">
        <v>33</v>
      </c>
      <c r="C37" s="13">
        <f t="shared" si="12"/>
        <v>46753</v>
      </c>
      <c r="D37" s="13">
        <f t="shared" si="13"/>
        <v>47118</v>
      </c>
      <c r="E37" s="14">
        <v>4.45</v>
      </c>
      <c r="F37" s="15">
        <f t="shared" si="9"/>
        <v>5.3500000000000006E-2</v>
      </c>
      <c r="G37" s="15">
        <f t="shared" si="0"/>
        <v>1.4617486338797817E-2</v>
      </c>
      <c r="H37" s="179">
        <f t="shared" si="10"/>
        <v>2028</v>
      </c>
      <c r="I37" s="179">
        <f t="shared" si="11"/>
        <v>2028</v>
      </c>
      <c r="J37" s="180">
        <f t="shared" si="4"/>
        <v>0</v>
      </c>
      <c r="K37">
        <v>2047</v>
      </c>
      <c r="L37">
        <v>365</v>
      </c>
      <c r="M37" s="174">
        <f t="shared" si="5"/>
        <v>0</v>
      </c>
      <c r="N37" s="181">
        <f t="shared" si="6"/>
        <v>1.4617486338797817E-2</v>
      </c>
    </row>
    <row r="38" spans="2:15">
      <c r="B38" s="12">
        <v>34</v>
      </c>
      <c r="C38" s="13">
        <f t="shared" si="12"/>
        <v>47119</v>
      </c>
      <c r="D38" s="13">
        <f t="shared" si="13"/>
        <v>47483</v>
      </c>
      <c r="E38" s="14">
        <v>4.45</v>
      </c>
      <c r="F38" s="15">
        <f t="shared" si="9"/>
        <v>5.3500000000000006E-2</v>
      </c>
      <c r="G38" s="15">
        <f t="shared" si="0"/>
        <v>1.4657534246575345E-2</v>
      </c>
      <c r="H38" s="179">
        <f t="shared" si="10"/>
        <v>2029</v>
      </c>
      <c r="I38" s="179">
        <f t="shared" si="11"/>
        <v>2029</v>
      </c>
      <c r="J38" s="180">
        <f t="shared" si="4"/>
        <v>0</v>
      </c>
      <c r="K38">
        <v>2048</v>
      </c>
      <c r="L38">
        <v>366</v>
      </c>
      <c r="M38" s="174">
        <f t="shared" si="5"/>
        <v>1</v>
      </c>
      <c r="N38" s="181">
        <f t="shared" si="6"/>
        <v>1.4657534246575345E-2</v>
      </c>
      <c r="O38" s="178"/>
    </row>
    <row r="39" spans="2:15">
      <c r="B39" s="12">
        <v>35</v>
      </c>
      <c r="C39" s="13">
        <f t="shared" si="12"/>
        <v>47484</v>
      </c>
      <c r="D39" s="13">
        <f t="shared" si="13"/>
        <v>47848</v>
      </c>
      <c r="E39" s="14">
        <v>4.45</v>
      </c>
      <c r="F39" s="15">
        <f t="shared" si="9"/>
        <v>5.3500000000000006E-2</v>
      </c>
      <c r="G39" s="15">
        <f t="shared" si="0"/>
        <v>1.4657534246575345E-2</v>
      </c>
      <c r="H39" s="179">
        <f t="shared" si="10"/>
        <v>2030</v>
      </c>
      <c r="I39" s="179">
        <f t="shared" si="11"/>
        <v>2030</v>
      </c>
      <c r="J39" s="180">
        <f t="shared" si="4"/>
        <v>0</v>
      </c>
      <c r="K39">
        <v>2049</v>
      </c>
      <c r="L39">
        <v>365</v>
      </c>
      <c r="M39" s="174">
        <f t="shared" si="5"/>
        <v>0</v>
      </c>
      <c r="N39" s="181">
        <f t="shared" si="6"/>
        <v>1.4657534246575345E-2</v>
      </c>
    </row>
    <row r="40" spans="2:15">
      <c r="B40" s="12">
        <v>36</v>
      </c>
      <c r="C40" s="13">
        <f t="shared" si="12"/>
        <v>47849</v>
      </c>
      <c r="D40" s="13">
        <f t="shared" si="13"/>
        <v>48213</v>
      </c>
      <c r="E40" s="14">
        <v>4.45</v>
      </c>
      <c r="F40" s="15">
        <f t="shared" si="9"/>
        <v>5.3500000000000006E-2</v>
      </c>
      <c r="G40" s="15">
        <f t="shared" si="0"/>
        <v>1.4657534246575345E-2</v>
      </c>
      <c r="H40" s="179">
        <f t="shared" si="10"/>
        <v>2031</v>
      </c>
      <c r="I40" s="179">
        <f t="shared" si="11"/>
        <v>2031</v>
      </c>
      <c r="J40" s="180">
        <f t="shared" si="4"/>
        <v>0</v>
      </c>
      <c r="K40">
        <v>2050</v>
      </c>
      <c r="L40">
        <v>365</v>
      </c>
      <c r="M40" s="174">
        <f t="shared" si="5"/>
        <v>0</v>
      </c>
      <c r="N40" s="181">
        <f t="shared" si="6"/>
        <v>1.4657534246575345E-2</v>
      </c>
      <c r="O40" s="177"/>
    </row>
    <row r="41" spans="2:15">
      <c r="B41" s="12">
        <v>37</v>
      </c>
      <c r="C41" s="13">
        <f t="shared" si="12"/>
        <v>48214</v>
      </c>
      <c r="D41" s="13">
        <f t="shared" si="13"/>
        <v>48579</v>
      </c>
      <c r="E41" s="14">
        <v>4.45</v>
      </c>
      <c r="F41" s="15">
        <f t="shared" si="9"/>
        <v>5.3500000000000006E-2</v>
      </c>
      <c r="G41" s="15">
        <f t="shared" si="0"/>
        <v>1.4617486338797817E-2</v>
      </c>
      <c r="H41" s="179">
        <f t="shared" si="10"/>
        <v>2032</v>
      </c>
      <c r="I41" s="179">
        <f t="shared" si="11"/>
        <v>2032</v>
      </c>
      <c r="J41" s="180">
        <f t="shared" si="4"/>
        <v>0</v>
      </c>
      <c r="N41" s="181">
        <f t="shared" si="6"/>
        <v>1.4617486338797817E-2</v>
      </c>
    </row>
    <row r="42" spans="2:15">
      <c r="B42" s="12">
        <v>38</v>
      </c>
      <c r="C42" s="13">
        <f t="shared" si="12"/>
        <v>48580</v>
      </c>
      <c r="D42" s="13">
        <f t="shared" si="13"/>
        <v>48944</v>
      </c>
      <c r="E42" s="14">
        <v>4.45</v>
      </c>
      <c r="F42" s="15">
        <f t="shared" si="9"/>
        <v>5.3500000000000006E-2</v>
      </c>
      <c r="G42" s="15">
        <f t="shared" si="0"/>
        <v>1.4657534246575345E-2</v>
      </c>
      <c r="H42" s="179">
        <f t="shared" si="10"/>
        <v>2033</v>
      </c>
      <c r="I42" s="179">
        <f t="shared" si="11"/>
        <v>2033</v>
      </c>
      <c r="J42" s="180">
        <f t="shared" si="4"/>
        <v>0</v>
      </c>
      <c r="N42" s="181">
        <f t="shared" si="6"/>
        <v>1.4657534246575345E-2</v>
      </c>
    </row>
    <row r="43" spans="2:15">
      <c r="B43" s="12">
        <v>39</v>
      </c>
      <c r="C43" s="13">
        <f t="shared" si="12"/>
        <v>48945</v>
      </c>
      <c r="D43" s="13">
        <f t="shared" si="13"/>
        <v>49309</v>
      </c>
      <c r="E43" s="14">
        <v>4.45</v>
      </c>
      <c r="F43" s="15">
        <f t="shared" si="9"/>
        <v>5.3500000000000006E-2</v>
      </c>
      <c r="G43" s="15">
        <f t="shared" si="0"/>
        <v>1.4657534246575345E-2</v>
      </c>
      <c r="H43" s="179">
        <f t="shared" si="10"/>
        <v>2034</v>
      </c>
      <c r="I43" s="179">
        <f t="shared" si="11"/>
        <v>2034</v>
      </c>
      <c r="J43" s="180">
        <f t="shared" si="4"/>
        <v>0</v>
      </c>
      <c r="N43" s="181">
        <f t="shared" si="6"/>
        <v>1.4657534246575345E-2</v>
      </c>
    </row>
    <row r="44" spans="2:15">
      <c r="B44" s="12">
        <v>40</v>
      </c>
      <c r="C44" s="13">
        <f t="shared" si="12"/>
        <v>49310</v>
      </c>
      <c r="D44" s="13">
        <f t="shared" si="13"/>
        <v>49674</v>
      </c>
      <c r="E44" s="14">
        <v>4.45</v>
      </c>
      <c r="F44" s="15">
        <f t="shared" si="9"/>
        <v>5.3500000000000006E-2</v>
      </c>
      <c r="G44" s="15">
        <f t="shared" si="0"/>
        <v>1.4657534246575345E-2</v>
      </c>
      <c r="H44" s="179">
        <f t="shared" si="10"/>
        <v>2035</v>
      </c>
      <c r="I44" s="179">
        <f t="shared" si="11"/>
        <v>2035</v>
      </c>
      <c r="J44" s="180">
        <f t="shared" si="4"/>
        <v>0</v>
      </c>
      <c r="N44" s="181">
        <f t="shared" si="6"/>
        <v>1.4657534246575345E-2</v>
      </c>
    </row>
    <row r="45" spans="2:15">
      <c r="B45" s="12">
        <v>41</v>
      </c>
      <c r="C45" s="13">
        <f t="shared" si="12"/>
        <v>49675</v>
      </c>
      <c r="D45" s="13">
        <f t="shared" si="13"/>
        <v>50040</v>
      </c>
      <c r="E45" s="14">
        <v>4.45</v>
      </c>
      <c r="F45" s="15">
        <f t="shared" si="9"/>
        <v>5.3500000000000006E-2</v>
      </c>
      <c r="G45" s="15">
        <f t="shared" si="0"/>
        <v>1.4617486338797817E-2</v>
      </c>
      <c r="H45" s="179">
        <f t="shared" si="10"/>
        <v>2036</v>
      </c>
      <c r="I45" s="179">
        <f t="shared" si="11"/>
        <v>2036</v>
      </c>
      <c r="J45" s="180">
        <f t="shared" si="4"/>
        <v>0</v>
      </c>
      <c r="N45" s="181">
        <f t="shared" si="6"/>
        <v>1.4617486338797817E-2</v>
      </c>
    </row>
    <row r="46" spans="2:15">
      <c r="B46" s="12">
        <v>42</v>
      </c>
      <c r="C46" s="13">
        <f t="shared" si="12"/>
        <v>50041</v>
      </c>
      <c r="D46" s="13">
        <f t="shared" si="13"/>
        <v>50405</v>
      </c>
      <c r="E46" s="14">
        <v>4.45</v>
      </c>
      <c r="F46" s="15">
        <f t="shared" si="9"/>
        <v>5.3500000000000006E-2</v>
      </c>
      <c r="G46" s="15">
        <f t="shared" si="0"/>
        <v>1.4657534246575345E-2</v>
      </c>
      <c r="H46" s="179">
        <f t="shared" si="10"/>
        <v>2037</v>
      </c>
      <c r="I46" s="179">
        <f t="shared" si="11"/>
        <v>2037</v>
      </c>
      <c r="J46" s="180">
        <f t="shared" si="4"/>
        <v>0</v>
      </c>
      <c r="N46" s="181">
        <f t="shared" si="6"/>
        <v>1.4657534246575345E-2</v>
      </c>
    </row>
    <row r="47" spans="2:15">
      <c r="B47" s="12">
        <v>43</v>
      </c>
      <c r="C47" s="13">
        <f t="shared" si="12"/>
        <v>50406</v>
      </c>
      <c r="D47" s="13">
        <f t="shared" si="13"/>
        <v>50770</v>
      </c>
      <c r="E47" s="14">
        <v>4.45</v>
      </c>
      <c r="F47" s="15">
        <f t="shared" si="9"/>
        <v>5.3500000000000006E-2</v>
      </c>
      <c r="G47" s="15">
        <f t="shared" si="0"/>
        <v>1.4657534246575345E-2</v>
      </c>
      <c r="H47" s="179">
        <f t="shared" si="10"/>
        <v>2038</v>
      </c>
      <c r="I47" s="179">
        <f t="shared" si="11"/>
        <v>2038</v>
      </c>
      <c r="J47" s="180">
        <f t="shared" si="4"/>
        <v>0</v>
      </c>
      <c r="N47" s="181">
        <f t="shared" si="6"/>
        <v>1.4657534246575345E-2</v>
      </c>
    </row>
    <row r="48" spans="2:15">
      <c r="B48" s="12">
        <v>44</v>
      </c>
      <c r="C48" s="13">
        <f t="shared" si="12"/>
        <v>50771</v>
      </c>
      <c r="D48" s="13">
        <f t="shared" si="13"/>
        <v>51135</v>
      </c>
      <c r="E48" s="14">
        <v>4.45</v>
      </c>
      <c r="F48" s="15">
        <f t="shared" si="9"/>
        <v>5.3500000000000006E-2</v>
      </c>
      <c r="G48" s="15">
        <f t="shared" si="0"/>
        <v>1.4657534246575345E-2</v>
      </c>
      <c r="H48" s="179">
        <f t="shared" si="10"/>
        <v>2039</v>
      </c>
      <c r="I48" s="179">
        <f t="shared" si="11"/>
        <v>2039</v>
      </c>
      <c r="J48" s="180">
        <f t="shared" si="4"/>
        <v>0</v>
      </c>
      <c r="N48" s="181">
        <f t="shared" si="6"/>
        <v>1.4657534246575345E-2</v>
      </c>
    </row>
    <row r="49" spans="2:14">
      <c r="B49" s="12">
        <v>45</v>
      </c>
      <c r="C49" s="13">
        <f t="shared" si="12"/>
        <v>51136</v>
      </c>
      <c r="D49" s="13">
        <f t="shared" si="13"/>
        <v>51501</v>
      </c>
      <c r="E49" s="14">
        <v>4.45</v>
      </c>
      <c r="F49" s="15">
        <f t="shared" si="9"/>
        <v>5.3500000000000006E-2</v>
      </c>
      <c r="G49" s="15">
        <f t="shared" si="0"/>
        <v>1.4617486338797817E-2</v>
      </c>
      <c r="H49" s="179">
        <f t="shared" si="10"/>
        <v>2040</v>
      </c>
      <c r="I49" s="179">
        <f t="shared" si="11"/>
        <v>2040</v>
      </c>
      <c r="J49" s="180">
        <f t="shared" si="4"/>
        <v>0</v>
      </c>
      <c r="N49" s="181">
        <f t="shared" si="6"/>
        <v>1.4617486338797817E-2</v>
      </c>
    </row>
    <row r="50" spans="2:14">
      <c r="J50" s="49"/>
    </row>
    <row r="51" spans="2:14">
      <c r="F51" s="128"/>
      <c r="J51" s="49"/>
    </row>
    <row r="54" spans="2:14">
      <c r="C54" s="171"/>
      <c r="D54" s="171"/>
      <c r="E54" s="172"/>
    </row>
  </sheetData>
  <phoneticPr fontId="27" type="noConversion"/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Loan Quote Source</vt:lpstr>
      <vt:lpstr>Loan Quote </vt:lpstr>
      <vt:lpstr>Instructions</vt:lpstr>
      <vt:lpstr>Summary</vt:lpstr>
      <vt:lpstr>Data</vt:lpstr>
      <vt:lpstr>Rates</vt:lpstr>
      <vt:lpstr>'Loan Quote '!Print_Area</vt:lpstr>
      <vt:lpstr>'Loan Quote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Nawab</dc:creator>
  <cp:lastModifiedBy>Daniel Nawab</cp:lastModifiedBy>
  <cp:lastPrinted>2025-08-21T16:26:19Z</cp:lastPrinted>
  <dcterms:created xsi:type="dcterms:W3CDTF">2025-06-03T15:38:29Z</dcterms:created>
  <dcterms:modified xsi:type="dcterms:W3CDTF">2026-02-24T20:59:01Z</dcterms:modified>
</cp:coreProperties>
</file>