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Z:\A New Era\2. Program Office\FAA\Website\Downloads - ABFI\"/>
    </mc:Choice>
  </mc:AlternateContent>
  <xr:revisionPtr revIDLastSave="0" documentId="8_{EE0D735C-6240-404B-B980-4A69A58BEE4C}" xr6:coauthVersionLast="47" xr6:coauthVersionMax="47" xr10:uidLastSave="{00000000-0000-0000-0000-000000000000}"/>
  <bookViews>
    <workbookView xWindow="3525" yWindow="1950" windowWidth="21600" windowHeight="11265" tabRatio="834" firstSheet="1" activeTab="1" xr2:uid="{00000000-000D-0000-FFFF-FFFF00000000}"/>
  </bookViews>
  <sheets>
    <sheet name="History of Rate Changes" sheetId="13" state="hidden" r:id="rId1"/>
    <sheet name="Heifer Calf " sheetId="44" r:id="rId2"/>
    <sheet name="Heifer Calf Loans" sheetId="5" state="hidden" r:id="rId3"/>
    <sheet name="&lt;5-December Due Date" sheetId="36" r:id="rId4"/>
    <sheet name="&lt;5-Pairs Dec Due Date" sheetId="37" r:id="rId5"/>
    <sheet name="&gt;5-Cows &amp; Pairs - Dec" sheetId="38" r:id="rId6"/>
    <sheet name="Ewes &amp; Lambs - Dec" sheetId="40" r:id="rId7"/>
    <sheet name="&lt;5-Pairs Dec Due Date(RollOver)" sheetId="28" state="hidden" r:id="rId8"/>
    <sheet name="&lt;5-June Due Date" sheetId="4" r:id="rId9"/>
    <sheet name="Ewes &amp; Lambs -June11" sheetId="41" state="hidden" r:id="rId10"/>
    <sheet name="Ewes &amp; Lambs -June" sheetId="42" r:id="rId11"/>
    <sheet name="&gt;5-Cows &amp; Pairs  - June" sheetId="11" r:id="rId12"/>
    <sheet name="&gt;5-Cows &amp; Pairs  - June(ist Int" sheetId="45" r:id="rId13"/>
    <sheet name="&lt;5-Pairs Jun Due Date" sheetId="9" r:id="rId14"/>
    <sheet name="&lt;5-Pairs Jun( Ist Interest Only" sheetId="43" r:id="rId15"/>
  </sheets>
  <definedNames>
    <definedName name="_xlnm.Print_Area" localSheetId="3">'&lt;5-December Due Date'!$A$1:$I$87</definedName>
    <definedName name="_xlnm.Print_Area" localSheetId="8">'&lt;5-June Due Date'!$A$1:$I$87</definedName>
    <definedName name="_xlnm.Print_Area" localSheetId="4">'&lt;5-Pairs Dec Due Date'!$A$1:$I$87</definedName>
    <definedName name="_xlnm.Print_Area" localSheetId="7">'&lt;5-Pairs Dec Due Date(RollOver)'!$A$1:$I$29</definedName>
    <definedName name="_xlnm.Print_Area" localSheetId="13">'&lt;5-Pairs Jun Due Date'!$A$1:$I$86</definedName>
    <definedName name="_xlnm.Print_Area" localSheetId="14">'&lt;5-Pairs Jun( Ist Interest Only'!$A$1:$I$99</definedName>
    <definedName name="_xlnm.Print_Area" localSheetId="11">'&gt;5-Cows &amp; Pairs  - June'!$A$1:$I$48</definedName>
    <definedName name="_xlnm.Print_Area" localSheetId="12">'&gt;5-Cows &amp; Pairs  - June(ist Int'!$A$1:$I$62</definedName>
    <definedName name="_xlnm.Print_Area" localSheetId="5">'&gt;5-Cows &amp; Pairs - Dec'!$A$1:$I$48</definedName>
    <definedName name="_xlnm.Print_Area" localSheetId="6">'Ewes &amp; Lambs - Dec'!$A$1:$I$74</definedName>
    <definedName name="_xlnm.Print_Area" localSheetId="10">'Ewes &amp; Lambs -June'!$A$1:$I$67</definedName>
    <definedName name="_xlnm.Print_Area" localSheetId="9">'Ewes &amp; Lambs -June11'!$A$1:$I$80</definedName>
    <definedName name="_xlnm.Print_Area" localSheetId="1">'Heifer Calf '!$A$1:$J$36</definedName>
    <definedName name="_xlnm.Print_Area" localSheetId="2">'Heifer Calf Loans'!$A$1:$J$29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1" i="11" l="1"/>
  <c r="G54" i="42"/>
  <c r="G61" i="40"/>
  <c r="G74" i="36"/>
  <c r="G22" i="44"/>
  <c r="C31" i="44"/>
  <c r="F31" i="44"/>
  <c r="E18" i="44"/>
  <c r="C19" i="44"/>
  <c r="C18" i="44"/>
  <c r="H17" i="44"/>
  <c r="H18" i="44" s="1"/>
  <c r="H19" i="44" s="1"/>
  <c r="C83" i="36"/>
  <c r="F83" i="36"/>
  <c r="C71" i="36"/>
  <c r="C70" i="36"/>
  <c r="C57" i="36"/>
  <c r="C44" i="36"/>
  <c r="C31" i="36"/>
  <c r="C18" i="36"/>
  <c r="C10" i="36"/>
  <c r="H17" i="36"/>
  <c r="C83" i="37"/>
  <c r="F83" i="37"/>
  <c r="G74" i="37"/>
  <c r="C71" i="37"/>
  <c r="C70" i="37"/>
  <c r="C57" i="37"/>
  <c r="C44" i="37"/>
  <c r="C31" i="37"/>
  <c r="C18" i="37"/>
  <c r="C10" i="37"/>
  <c r="H17" i="37"/>
  <c r="G35" i="38"/>
  <c r="C44" i="38"/>
  <c r="F44" i="38"/>
  <c r="C32" i="38"/>
  <c r="C31" i="38"/>
  <c r="E18" i="38"/>
  <c r="H17" i="38"/>
  <c r="C70" i="40"/>
  <c r="F70" i="40"/>
  <c r="C59" i="40"/>
  <c r="C58" i="40"/>
  <c r="E18" i="40"/>
  <c r="H17" i="40"/>
  <c r="C82" i="4"/>
  <c r="F82" i="4"/>
  <c r="G70" i="4"/>
  <c r="C67" i="4"/>
  <c r="C66" i="4"/>
  <c r="C53" i="4"/>
  <c r="C40" i="4"/>
  <c r="C27" i="4"/>
  <c r="C14" i="4"/>
  <c r="C13" i="4"/>
  <c r="H13" i="4"/>
  <c r="C63" i="42"/>
  <c r="F63" i="42"/>
  <c r="C52" i="42"/>
  <c r="C51" i="42"/>
  <c r="C38" i="42"/>
  <c r="C25" i="42"/>
  <c r="C12" i="42"/>
  <c r="C11" i="42"/>
  <c r="C10" i="42"/>
  <c r="H11" i="42"/>
  <c r="G45" i="45"/>
  <c r="C57" i="45"/>
  <c r="F57" i="45"/>
  <c r="H40" i="45"/>
  <c r="H39" i="45"/>
  <c r="E40" i="45"/>
  <c r="F28" i="45"/>
  <c r="G28" i="45" s="1"/>
  <c r="F29" i="45"/>
  <c r="F30" i="45"/>
  <c r="F31" i="45"/>
  <c r="F32" i="45"/>
  <c r="F33" i="45"/>
  <c r="F34" i="45"/>
  <c r="F35" i="45"/>
  <c r="F36" i="45"/>
  <c r="F37" i="45"/>
  <c r="F38" i="45"/>
  <c r="F39" i="45"/>
  <c r="F40" i="45"/>
  <c r="C41" i="45"/>
  <c r="C40" i="45"/>
  <c r="B39" i="45"/>
  <c r="C39" i="45" s="1"/>
  <c r="B40" i="45" s="1"/>
  <c r="H26" i="45"/>
  <c r="C54" i="45"/>
  <c r="H14" i="45"/>
  <c r="D11" i="45"/>
  <c r="B11" i="45"/>
  <c r="C11" i="45" s="1"/>
  <c r="F5" i="45"/>
  <c r="G5" i="45" s="1"/>
  <c r="D5" i="45"/>
  <c r="C43" i="11"/>
  <c r="F43" i="11"/>
  <c r="C28" i="11"/>
  <c r="C27" i="11"/>
  <c r="C16" i="11"/>
  <c r="C15" i="11"/>
  <c r="C14" i="11"/>
  <c r="H13" i="11"/>
  <c r="H14" i="11" s="1"/>
  <c r="H26" i="11" s="1"/>
  <c r="H27" i="11" s="1"/>
  <c r="C80" i="9"/>
  <c r="F80" i="9"/>
  <c r="G69" i="9"/>
  <c r="C67" i="9"/>
  <c r="C66" i="9"/>
  <c r="C53" i="9"/>
  <c r="C40" i="9"/>
  <c r="C27" i="9"/>
  <c r="C16" i="9"/>
  <c r="C15" i="9"/>
  <c r="C14" i="9"/>
  <c r="H13" i="9"/>
  <c r="G82" i="43"/>
  <c r="C93" i="43"/>
  <c r="F93" i="43"/>
  <c r="H13" i="43"/>
  <c r="G5" i="11"/>
  <c r="G5" i="44"/>
  <c r="G5" i="36"/>
  <c r="C9" i="38"/>
  <c r="B9" i="38"/>
  <c r="C29" i="44"/>
  <c r="D9" i="44"/>
  <c r="B9" i="44"/>
  <c r="C9" i="44" s="1"/>
  <c r="B10" i="44" s="1"/>
  <c r="C10" i="44" s="1"/>
  <c r="F5" i="44"/>
  <c r="F24" i="5"/>
  <c r="D11" i="28"/>
  <c r="C11" i="28"/>
  <c r="B11" i="28"/>
  <c r="E10" i="5"/>
  <c r="F25" i="28"/>
  <c r="E10" i="28"/>
  <c r="C25" i="28"/>
  <c r="H10" i="28"/>
  <c r="H11" i="28" s="1"/>
  <c r="C24" i="5"/>
  <c r="H10" i="5"/>
  <c r="H11" i="5" s="1"/>
  <c r="D5" i="43"/>
  <c r="D11" i="43"/>
  <c r="C91" i="43"/>
  <c r="B11" i="43"/>
  <c r="C11" i="43" s="1"/>
  <c r="F5" i="43"/>
  <c r="G5" i="43" s="1"/>
  <c r="C61" i="42"/>
  <c r="D9" i="42"/>
  <c r="B9" i="42"/>
  <c r="C9" i="42" s="1"/>
  <c r="F5" i="42"/>
  <c r="G5" i="42" s="1"/>
  <c r="D5" i="42"/>
  <c r="J2" i="42"/>
  <c r="J3" i="42" s="1"/>
  <c r="H10" i="41"/>
  <c r="F5" i="41"/>
  <c r="G5" i="41" s="1"/>
  <c r="D5" i="41"/>
  <c r="D5" i="40"/>
  <c r="D5" i="38"/>
  <c r="C33" i="44" l="1"/>
  <c r="H18" i="36"/>
  <c r="H30" i="36" s="1"/>
  <c r="H18" i="37"/>
  <c r="H30" i="37" s="1"/>
  <c r="H18" i="38"/>
  <c r="H30" i="38" s="1"/>
  <c r="H31" i="38" s="1"/>
  <c r="H32" i="38" s="1"/>
  <c r="H18" i="40"/>
  <c r="H30" i="40" s="1"/>
  <c r="H14" i="4"/>
  <c r="H26" i="4" s="1"/>
  <c r="H12" i="42"/>
  <c r="H24" i="42" s="1"/>
  <c r="B41" i="45"/>
  <c r="B12" i="45"/>
  <c r="C12" i="45" s="1"/>
  <c r="F11" i="45"/>
  <c r="G11" i="45" s="1"/>
  <c r="D12" i="45" s="1"/>
  <c r="H27" i="45"/>
  <c r="C59" i="45" s="1"/>
  <c r="I14" i="9"/>
  <c r="H26" i="9" s="1"/>
  <c r="I14" i="43"/>
  <c r="H26" i="43" s="1"/>
  <c r="B11" i="44"/>
  <c r="C11" i="44" s="1"/>
  <c r="F11" i="44" s="1"/>
  <c r="F10" i="44"/>
  <c r="F9" i="44"/>
  <c r="B12" i="43"/>
  <c r="C12" i="43" s="1"/>
  <c r="F11" i="43"/>
  <c r="J4" i="42"/>
  <c r="J5" i="42" s="1"/>
  <c r="B10" i="42"/>
  <c r="F9" i="42"/>
  <c r="H11" i="41"/>
  <c r="C74" i="41"/>
  <c r="D9" i="41"/>
  <c r="B9" i="41"/>
  <c r="J2" i="41"/>
  <c r="C68" i="40"/>
  <c r="D9" i="40"/>
  <c r="B9" i="40"/>
  <c r="C9" i="40" s="1"/>
  <c r="F5" i="40"/>
  <c r="G5" i="40" s="1"/>
  <c r="K2" i="40"/>
  <c r="K3" i="40" s="1"/>
  <c r="K4" i="40" s="1"/>
  <c r="C42" i="38"/>
  <c r="D9" i="38"/>
  <c r="F5" i="38"/>
  <c r="G5" i="38" s="1"/>
  <c r="K2" i="38"/>
  <c r="C81" i="37"/>
  <c r="D9" i="37"/>
  <c r="B9" i="37"/>
  <c r="C9" i="37" s="1"/>
  <c r="F5" i="37"/>
  <c r="G5" i="37" s="1"/>
  <c r="D5" i="37"/>
  <c r="K2" i="37"/>
  <c r="K3" i="37" s="1"/>
  <c r="C81" i="36"/>
  <c r="D9" i="36"/>
  <c r="B9" i="36"/>
  <c r="C9" i="36" s="1"/>
  <c r="F5" i="36"/>
  <c r="D5" i="36"/>
  <c r="K2" i="36"/>
  <c r="K3" i="28"/>
  <c r="K2" i="28"/>
  <c r="C23" i="28"/>
  <c r="D9" i="28"/>
  <c r="B9" i="28"/>
  <c r="C9" i="28" s="1"/>
  <c r="F5" i="28"/>
  <c r="G5" i="28" s="1"/>
  <c r="D5" i="28"/>
  <c r="H31" i="36" l="1"/>
  <c r="H43" i="36" s="1"/>
  <c r="H31" i="37"/>
  <c r="H43" i="37" s="1"/>
  <c r="H31" i="40"/>
  <c r="H43" i="40" s="1"/>
  <c r="H27" i="4"/>
  <c r="H39" i="4" s="1"/>
  <c r="H25" i="42"/>
  <c r="H37" i="42" s="1"/>
  <c r="B13" i="45"/>
  <c r="C13" i="45" s="1"/>
  <c r="F12" i="45"/>
  <c r="G12" i="45" s="1"/>
  <c r="D13" i="45" s="1"/>
  <c r="I27" i="9"/>
  <c r="H39" i="9" s="1"/>
  <c r="I27" i="43"/>
  <c r="H39" i="43" s="1"/>
  <c r="G9" i="42"/>
  <c r="B12" i="44"/>
  <c r="C12" i="44" s="1"/>
  <c r="B13" i="44" s="1"/>
  <c r="C13" i="44" s="1"/>
  <c r="B14" i="44" s="1"/>
  <c r="C14" i="44" s="1"/>
  <c r="G9" i="44"/>
  <c r="G11" i="43"/>
  <c r="B13" i="43"/>
  <c r="C13" i="43" s="1"/>
  <c r="F12" i="43"/>
  <c r="J6" i="42"/>
  <c r="J7" i="42" s="1"/>
  <c r="F10" i="42"/>
  <c r="B11" i="42"/>
  <c r="H23" i="41"/>
  <c r="H24" i="41" s="1"/>
  <c r="H36" i="41" s="1"/>
  <c r="F9" i="36"/>
  <c r="C9" i="41"/>
  <c r="F9" i="41" s="1"/>
  <c r="J3" i="41"/>
  <c r="K4" i="28"/>
  <c r="K5" i="28" s="1"/>
  <c r="B10" i="38"/>
  <c r="C10" i="38" s="1"/>
  <c r="B10" i="37"/>
  <c r="K4" i="37"/>
  <c r="K5" i="37" s="1"/>
  <c r="K6" i="37" s="1"/>
  <c r="K7" i="37" s="1"/>
  <c r="B10" i="40"/>
  <c r="C10" i="40" s="1"/>
  <c r="K5" i="40"/>
  <c r="K3" i="38"/>
  <c r="K3" i="36"/>
  <c r="C22" i="5"/>
  <c r="D9" i="5"/>
  <c r="B9" i="5"/>
  <c r="C9" i="5" s="1"/>
  <c r="F5" i="5"/>
  <c r="G5" i="5" s="1"/>
  <c r="H44" i="36" l="1"/>
  <c r="H56" i="36" s="1"/>
  <c r="H44" i="37"/>
  <c r="H56" i="37" s="1"/>
  <c r="H44" i="40"/>
  <c r="H57" i="40" s="1"/>
  <c r="H58" i="40" s="1"/>
  <c r="H40" i="4"/>
  <c r="H52" i="4" s="1"/>
  <c r="H38" i="42"/>
  <c r="H50" i="42" s="1"/>
  <c r="H51" i="42" s="1"/>
  <c r="H52" i="42" s="1"/>
  <c r="B14" i="45"/>
  <c r="C14" i="45" s="1"/>
  <c r="F13" i="45"/>
  <c r="G13" i="45" s="1"/>
  <c r="I40" i="9"/>
  <c r="H51" i="9" s="1"/>
  <c r="I40" i="43"/>
  <c r="H51" i="43" s="1"/>
  <c r="D10" i="42"/>
  <c r="F13" i="44"/>
  <c r="F12" i="44"/>
  <c r="B15" i="44"/>
  <c r="C15" i="44" s="1"/>
  <c r="F14" i="44"/>
  <c r="D10" i="44"/>
  <c r="D12" i="43"/>
  <c r="G12" i="43" s="1"/>
  <c r="G10" i="42"/>
  <c r="F13" i="43"/>
  <c r="B14" i="43"/>
  <c r="C14" i="43" s="1"/>
  <c r="B12" i="42"/>
  <c r="F11" i="42"/>
  <c r="H37" i="41"/>
  <c r="H49" i="41" s="1"/>
  <c r="H50" i="41" s="1"/>
  <c r="G9" i="41"/>
  <c r="B10" i="36"/>
  <c r="F10" i="36" s="1"/>
  <c r="K6" i="28"/>
  <c r="K7" i="28" s="1"/>
  <c r="B10" i="41"/>
  <c r="J4" i="41"/>
  <c r="F9" i="38"/>
  <c r="F9" i="37"/>
  <c r="B11" i="37"/>
  <c r="C11" i="37" s="1"/>
  <c r="K6" i="40"/>
  <c r="K7" i="40" s="1"/>
  <c r="F9" i="40"/>
  <c r="F10" i="40"/>
  <c r="B11" i="40"/>
  <c r="F10" i="38"/>
  <c r="B11" i="38"/>
  <c r="K4" i="38"/>
  <c r="K5" i="38" s="1"/>
  <c r="K4" i="36"/>
  <c r="G9" i="36"/>
  <c r="B10" i="28"/>
  <c r="F9" i="28"/>
  <c r="B10" i="5"/>
  <c r="C10" i="5" s="1"/>
  <c r="F9" i="5"/>
  <c r="H57" i="36" l="1"/>
  <c r="H69" i="36" s="1"/>
  <c r="H70" i="36" s="1"/>
  <c r="H71" i="36" s="1"/>
  <c r="H57" i="37"/>
  <c r="H69" i="37" s="1"/>
  <c r="H70" i="37" s="1"/>
  <c r="H71" i="37" s="1"/>
  <c r="H53" i="4"/>
  <c r="H65" i="4" s="1"/>
  <c r="H66" i="4" s="1"/>
  <c r="B15" i="45"/>
  <c r="C15" i="45" s="1"/>
  <c r="F14" i="45"/>
  <c r="D14" i="45"/>
  <c r="I52" i="9"/>
  <c r="H65" i="9" s="1"/>
  <c r="I66" i="9" s="1"/>
  <c r="I67" i="9" s="1"/>
  <c r="I52" i="43"/>
  <c r="H65" i="43" s="1"/>
  <c r="B16" i="44"/>
  <c r="C16" i="44" s="1"/>
  <c r="F15" i="44"/>
  <c r="G10" i="44"/>
  <c r="G9" i="37"/>
  <c r="D13" i="43"/>
  <c r="G13" i="43" s="1"/>
  <c r="D11" i="42"/>
  <c r="G11" i="42" s="1"/>
  <c r="B15" i="43"/>
  <c r="C15" i="43" s="1"/>
  <c r="F14" i="43"/>
  <c r="F12" i="42"/>
  <c r="B13" i="42"/>
  <c r="C13" i="42" s="1"/>
  <c r="D10" i="41"/>
  <c r="C76" i="41"/>
  <c r="B11" i="5"/>
  <c r="C11" i="5" s="1"/>
  <c r="G9" i="40"/>
  <c r="B11" i="36"/>
  <c r="C11" i="36" s="1"/>
  <c r="G9" i="38"/>
  <c r="C10" i="41"/>
  <c r="F10" i="41" s="1"/>
  <c r="J5" i="41"/>
  <c r="J6" i="41" s="1"/>
  <c r="F10" i="37"/>
  <c r="G9" i="5"/>
  <c r="C11" i="40"/>
  <c r="K6" i="38"/>
  <c r="K7" i="38" s="1"/>
  <c r="C11" i="38"/>
  <c r="K5" i="36"/>
  <c r="K6" i="36" s="1"/>
  <c r="K7" i="36" s="1"/>
  <c r="D10" i="36"/>
  <c r="G9" i="28"/>
  <c r="C10" i="28"/>
  <c r="G14" i="45" l="1"/>
  <c r="F15" i="45"/>
  <c r="B16" i="45"/>
  <c r="C16" i="45" s="1"/>
  <c r="I66" i="43"/>
  <c r="H78" i="43" s="1"/>
  <c r="I79" i="43" s="1"/>
  <c r="I80" i="43" s="1"/>
  <c r="C96" i="43" s="1"/>
  <c r="D12" i="42"/>
  <c r="G12" i="42" s="1"/>
  <c r="E12" i="42" s="1"/>
  <c r="D11" i="44"/>
  <c r="G11" i="44" s="1"/>
  <c r="D12" i="44" s="1"/>
  <c r="F11" i="36"/>
  <c r="G10" i="36"/>
  <c r="B17" i="44"/>
  <c r="C17" i="44" s="1"/>
  <c r="F16" i="44"/>
  <c r="D10" i="37"/>
  <c r="G10" i="37" s="1"/>
  <c r="D14" i="43"/>
  <c r="G14" i="43" s="1"/>
  <c r="E14" i="43" s="1"/>
  <c r="C65" i="42"/>
  <c r="B16" i="43"/>
  <c r="C16" i="43" s="1"/>
  <c r="F15" i="43"/>
  <c r="F13" i="42"/>
  <c r="B14" i="42"/>
  <c r="C14" i="42" s="1"/>
  <c r="D10" i="40"/>
  <c r="G10" i="40" s="1"/>
  <c r="G10" i="41"/>
  <c r="E11" i="41" s="1"/>
  <c r="D10" i="38"/>
  <c r="D10" i="5"/>
  <c r="B11" i="41"/>
  <c r="J7" i="41"/>
  <c r="B12" i="40"/>
  <c r="F11" i="40"/>
  <c r="B12" i="38"/>
  <c r="F11" i="38"/>
  <c r="F11" i="37"/>
  <c r="B12" i="37"/>
  <c r="C12" i="37" s="1"/>
  <c r="D10" i="28"/>
  <c r="F10" i="28"/>
  <c r="F10" i="5"/>
  <c r="E14" i="45" l="1"/>
  <c r="D15" i="45" s="1"/>
  <c r="F16" i="45"/>
  <c r="B17" i="45"/>
  <c r="C17" i="45" s="1"/>
  <c r="B12" i="36"/>
  <c r="D11" i="36"/>
  <c r="G11" i="36" s="1"/>
  <c r="D12" i="36" s="1"/>
  <c r="B18" i="44"/>
  <c r="F17" i="44"/>
  <c r="G12" i="44"/>
  <c r="D15" i="43"/>
  <c r="G15" i="43" s="1"/>
  <c r="D13" i="42"/>
  <c r="G13" i="42" s="1"/>
  <c r="F16" i="43"/>
  <c r="B17" i="43"/>
  <c r="C17" i="43" s="1"/>
  <c r="F14" i="42"/>
  <c r="B15" i="42"/>
  <c r="C15" i="42" s="1"/>
  <c r="G10" i="38"/>
  <c r="D11" i="40"/>
  <c r="G11" i="40" s="1"/>
  <c r="G10" i="28"/>
  <c r="D11" i="37"/>
  <c r="G11" i="37" s="1"/>
  <c r="C11" i="41"/>
  <c r="B12" i="41" s="1"/>
  <c r="D11" i="41"/>
  <c r="G10" i="5"/>
  <c r="C12" i="40"/>
  <c r="C12" i="38"/>
  <c r="C12" i="36" l="1"/>
  <c r="B13" i="36" s="1"/>
  <c r="C13" i="36" s="1"/>
  <c r="B18" i="45"/>
  <c r="C18" i="45" s="1"/>
  <c r="F17" i="45"/>
  <c r="G15" i="45"/>
  <c r="D13" i="44"/>
  <c r="B19" i="44"/>
  <c r="F18" i="44"/>
  <c r="D16" i="43"/>
  <c r="G16" i="43" s="1"/>
  <c r="C17" i="5"/>
  <c r="D14" i="42"/>
  <c r="G14" i="42" s="1"/>
  <c r="B18" i="43"/>
  <c r="C18" i="43" s="1"/>
  <c r="F17" i="43"/>
  <c r="B16" i="42"/>
  <c r="C16" i="42" s="1"/>
  <c r="F15" i="42"/>
  <c r="D11" i="38"/>
  <c r="G11" i="38" s="1"/>
  <c r="D12" i="40"/>
  <c r="D11" i="5"/>
  <c r="G11" i="5" s="1"/>
  <c r="C12" i="41"/>
  <c r="F11" i="41"/>
  <c r="B13" i="40"/>
  <c r="F12" i="40"/>
  <c r="B13" i="38"/>
  <c r="F12" i="38"/>
  <c r="B13" i="37"/>
  <c r="C13" i="37" s="1"/>
  <c r="F12" i="37"/>
  <c r="D12" i="37"/>
  <c r="F12" i="36" l="1"/>
  <c r="G12" i="36" s="1"/>
  <c r="F18" i="45"/>
  <c r="B19" i="45"/>
  <c r="C19" i="45" s="1"/>
  <c r="D16" i="45"/>
  <c r="D15" i="42"/>
  <c r="G15" i="42" s="1"/>
  <c r="G13" i="44"/>
  <c r="F19" i="44"/>
  <c r="B19" i="43"/>
  <c r="C19" i="43" s="1"/>
  <c r="F18" i="43"/>
  <c r="D17" i="43"/>
  <c r="G17" i="43" s="1"/>
  <c r="B17" i="42"/>
  <c r="C17" i="42" s="1"/>
  <c r="F16" i="42"/>
  <c r="D12" i="38"/>
  <c r="G12" i="38" s="1"/>
  <c r="G12" i="40"/>
  <c r="G11" i="41"/>
  <c r="G12" i="37"/>
  <c r="G11" i="28"/>
  <c r="B13" i="41"/>
  <c r="F12" i="41"/>
  <c r="C13" i="40"/>
  <c r="C13" i="38"/>
  <c r="B14" i="36"/>
  <c r="C14" i="36" s="1"/>
  <c r="F13" i="36"/>
  <c r="B20" i="45" l="1"/>
  <c r="C20" i="45" s="1"/>
  <c r="F19" i="45"/>
  <c r="G16" i="45"/>
  <c r="D14" i="44"/>
  <c r="G14" i="44" s="1"/>
  <c r="D16" i="42"/>
  <c r="G16" i="42" s="1"/>
  <c r="C24" i="44"/>
  <c r="D24" i="44" s="1"/>
  <c r="D18" i="43"/>
  <c r="G18" i="43" s="1"/>
  <c r="F19" i="43"/>
  <c r="B20" i="43"/>
  <c r="C20" i="43" s="1"/>
  <c r="F17" i="42"/>
  <c r="B18" i="42"/>
  <c r="C18" i="42" s="1"/>
  <c r="D12" i="41"/>
  <c r="G12" i="41" s="1"/>
  <c r="D13" i="41" s="1"/>
  <c r="D13" i="40"/>
  <c r="D13" i="38"/>
  <c r="D13" i="37"/>
  <c r="C13" i="41"/>
  <c r="B14" i="40"/>
  <c r="F13" i="40"/>
  <c r="F13" i="38"/>
  <c r="B14" i="38"/>
  <c r="B14" i="37"/>
  <c r="C14" i="37" s="1"/>
  <c r="F13" i="37"/>
  <c r="D17" i="45" l="1"/>
  <c r="B21" i="45"/>
  <c r="C21" i="45" s="1"/>
  <c r="F20" i="45"/>
  <c r="D15" i="44"/>
  <c r="D17" i="42"/>
  <c r="G17" i="42" s="1"/>
  <c r="F22" i="5"/>
  <c r="C18" i="5"/>
  <c r="B21" i="43"/>
  <c r="C21" i="43" s="1"/>
  <c r="F20" i="43"/>
  <c r="D19" i="43"/>
  <c r="B19" i="42"/>
  <c r="C19" i="42" s="1"/>
  <c r="F18" i="42"/>
  <c r="G13" i="38"/>
  <c r="G13" i="40"/>
  <c r="G13" i="37"/>
  <c r="D13" i="36"/>
  <c r="G13" i="36" s="1"/>
  <c r="F13" i="41"/>
  <c r="G13" i="41" s="1"/>
  <c r="D14" i="41" s="1"/>
  <c r="B14" i="41"/>
  <c r="C14" i="40"/>
  <c r="C14" i="38"/>
  <c r="B15" i="36"/>
  <c r="C15" i="36" s="1"/>
  <c r="F14" i="36"/>
  <c r="G17" i="45" l="1"/>
  <c r="B22" i="45"/>
  <c r="C22" i="45" s="1"/>
  <c r="F21" i="45"/>
  <c r="G15" i="44"/>
  <c r="D18" i="42"/>
  <c r="G18" i="42" s="1"/>
  <c r="B22" i="43"/>
  <c r="C22" i="43" s="1"/>
  <c r="F21" i="43"/>
  <c r="G19" i="43"/>
  <c r="F19" i="42"/>
  <c r="B20" i="42"/>
  <c r="C20" i="42" s="1"/>
  <c r="D14" i="40"/>
  <c r="D14" i="38"/>
  <c r="C14" i="41"/>
  <c r="B15" i="40"/>
  <c r="F14" i="40"/>
  <c r="B15" i="38"/>
  <c r="F14" i="38"/>
  <c r="D14" i="37"/>
  <c r="B15" i="37"/>
  <c r="C15" i="37" s="1"/>
  <c r="F14" i="37"/>
  <c r="D14" i="36"/>
  <c r="G14" i="36" s="1"/>
  <c r="F22" i="45" l="1"/>
  <c r="B23" i="45"/>
  <c r="C23" i="45" s="1"/>
  <c r="D18" i="45"/>
  <c r="D16" i="44"/>
  <c r="G16" i="44" s="1"/>
  <c r="D17" i="44" s="1"/>
  <c r="E24" i="44"/>
  <c r="C27" i="44" s="1"/>
  <c r="D20" i="43"/>
  <c r="G20" i="43" s="1"/>
  <c r="D19" i="42"/>
  <c r="G19" i="42" s="1"/>
  <c r="F22" i="43"/>
  <c r="B23" i="43"/>
  <c r="C23" i="43" s="1"/>
  <c r="F20" i="42"/>
  <c r="B21" i="42"/>
  <c r="C21" i="42" s="1"/>
  <c r="G14" i="38"/>
  <c r="G14" i="40"/>
  <c r="G14" i="37"/>
  <c r="B15" i="41"/>
  <c r="F14" i="41"/>
  <c r="C15" i="40"/>
  <c r="C15" i="38"/>
  <c r="B16" i="36"/>
  <c r="C16" i="36" s="1"/>
  <c r="F15" i="36"/>
  <c r="D15" i="36"/>
  <c r="G18" i="45" l="1"/>
  <c r="D19" i="45" s="1"/>
  <c r="B24" i="45"/>
  <c r="C24" i="45" s="1"/>
  <c r="F23" i="45"/>
  <c r="G17" i="44"/>
  <c r="D18" i="44" s="1"/>
  <c r="D21" i="43"/>
  <c r="G21" i="43" s="1"/>
  <c r="D20" i="42"/>
  <c r="G20" i="42" s="1"/>
  <c r="D15" i="38"/>
  <c r="F23" i="43"/>
  <c r="B24" i="43"/>
  <c r="C24" i="43" s="1"/>
  <c r="F21" i="42"/>
  <c r="B22" i="42"/>
  <c r="C22" i="42" s="1"/>
  <c r="G14" i="41"/>
  <c r="D15" i="41" s="1"/>
  <c r="G15" i="36"/>
  <c r="C15" i="41"/>
  <c r="B16" i="40"/>
  <c r="F15" i="40"/>
  <c r="F15" i="38"/>
  <c r="B16" i="38"/>
  <c r="D15" i="37"/>
  <c r="B16" i="37"/>
  <c r="C16" i="37" s="1"/>
  <c r="F15" i="37"/>
  <c r="C18" i="28"/>
  <c r="G19" i="45" l="1"/>
  <c r="D20" i="45" s="1"/>
  <c r="B25" i="45"/>
  <c r="C25" i="45" s="1"/>
  <c r="F24" i="45"/>
  <c r="D15" i="40"/>
  <c r="G15" i="40" s="1"/>
  <c r="D22" i="43"/>
  <c r="G22" i="43" s="1"/>
  <c r="D21" i="42"/>
  <c r="G21" i="42" s="1"/>
  <c r="D16" i="36"/>
  <c r="B25" i="43"/>
  <c r="C25" i="43" s="1"/>
  <c r="F24" i="43"/>
  <c r="F22" i="42"/>
  <c r="B23" i="42"/>
  <c r="C23" i="42" s="1"/>
  <c r="G15" i="38"/>
  <c r="G15" i="37"/>
  <c r="F15" i="41"/>
  <c r="B16" i="41"/>
  <c r="C16" i="40"/>
  <c r="C16" i="38"/>
  <c r="B17" i="36"/>
  <c r="C17" i="36" s="1"/>
  <c r="F16" i="36"/>
  <c r="G20" i="45" l="1"/>
  <c r="D21" i="45" s="1"/>
  <c r="F25" i="45"/>
  <c r="B26" i="45"/>
  <c r="C26" i="45" s="1"/>
  <c r="G18" i="44"/>
  <c r="D19" i="44" s="1"/>
  <c r="D22" i="42"/>
  <c r="G22" i="42" s="1"/>
  <c r="D23" i="43"/>
  <c r="G23" i="43" s="1"/>
  <c r="D16" i="37"/>
  <c r="D16" i="38"/>
  <c r="F25" i="43"/>
  <c r="B26" i="43"/>
  <c r="C26" i="43" s="1"/>
  <c r="B24" i="42"/>
  <c r="C24" i="42" s="1"/>
  <c r="F23" i="42"/>
  <c r="G15" i="41"/>
  <c r="D16" i="41" s="1"/>
  <c r="G16" i="36"/>
  <c r="C16" i="41"/>
  <c r="B17" i="40"/>
  <c r="F16" i="40"/>
  <c r="B17" i="38"/>
  <c r="F16" i="38"/>
  <c r="B17" i="37"/>
  <c r="C17" i="37" s="1"/>
  <c r="F16" i="37"/>
  <c r="G21" i="45" l="1"/>
  <c r="D22" i="45" s="1"/>
  <c r="B27" i="45"/>
  <c r="C27" i="45" s="1"/>
  <c r="F26" i="45"/>
  <c r="G19" i="44"/>
  <c r="D17" i="36"/>
  <c r="D24" i="43"/>
  <c r="G24" i="43" s="1"/>
  <c r="D16" i="40"/>
  <c r="G16" i="38"/>
  <c r="D23" i="42"/>
  <c r="G23" i="42" s="1"/>
  <c r="B27" i="43"/>
  <c r="C27" i="43" s="1"/>
  <c r="F26" i="43"/>
  <c r="B25" i="42"/>
  <c r="F24" i="42"/>
  <c r="G16" i="37"/>
  <c r="B17" i="41"/>
  <c r="F16" i="41"/>
  <c r="C17" i="40"/>
  <c r="C17" i="38"/>
  <c r="B18" i="36"/>
  <c r="F17" i="36"/>
  <c r="G22" i="45" l="1"/>
  <c r="D23" i="45" s="1"/>
  <c r="F27" i="45"/>
  <c r="B28" i="45"/>
  <c r="C28" i="45" s="1"/>
  <c r="B29" i="45" s="1"/>
  <c r="C29" i="45" s="1"/>
  <c r="B30" i="45" s="1"/>
  <c r="C30" i="45" s="1"/>
  <c r="B31" i="45" s="1"/>
  <c r="C31" i="45" s="1"/>
  <c r="B32" i="45" s="1"/>
  <c r="C32" i="45" s="1"/>
  <c r="B33" i="45" s="1"/>
  <c r="C33" i="45" s="1"/>
  <c r="B34" i="45" s="1"/>
  <c r="C34" i="45" s="1"/>
  <c r="B35" i="45" s="1"/>
  <c r="C35" i="45" s="1"/>
  <c r="B36" i="45" s="1"/>
  <c r="C36" i="45" s="1"/>
  <c r="B37" i="45" s="1"/>
  <c r="C37" i="45" s="1"/>
  <c r="B38" i="45" s="1"/>
  <c r="C38" i="45" s="1"/>
  <c r="C19" i="28"/>
  <c r="G16" i="40"/>
  <c r="D17" i="38"/>
  <c r="D25" i="43"/>
  <c r="G25" i="43" s="1"/>
  <c r="D17" i="37"/>
  <c r="G17" i="36"/>
  <c r="B28" i="43"/>
  <c r="C28" i="43" s="1"/>
  <c r="F27" i="43"/>
  <c r="D24" i="42"/>
  <c r="G24" i="42" s="1"/>
  <c r="B26" i="42"/>
  <c r="C26" i="42" s="1"/>
  <c r="F25" i="42"/>
  <c r="G16" i="41"/>
  <c r="D17" i="41" s="1"/>
  <c r="C17" i="41"/>
  <c r="F17" i="40"/>
  <c r="B18" i="40"/>
  <c r="F17" i="38"/>
  <c r="B18" i="38"/>
  <c r="F17" i="37"/>
  <c r="B18" i="37"/>
  <c r="G23" i="45" l="1"/>
  <c r="D24" i="45" s="1"/>
  <c r="C47" i="45"/>
  <c r="D47" i="45" s="1"/>
  <c r="E47" i="45" s="1"/>
  <c r="C50" i="45" s="1"/>
  <c r="D25" i="42"/>
  <c r="G25" i="42" s="1"/>
  <c r="E25" i="42" s="1"/>
  <c r="D17" i="40"/>
  <c r="G17" i="40" s="1"/>
  <c r="D18" i="36"/>
  <c r="G17" i="38"/>
  <c r="F28" i="43"/>
  <c r="B29" i="43"/>
  <c r="C29" i="43" s="1"/>
  <c r="D26" i="43"/>
  <c r="F26" i="42"/>
  <c r="B27" i="42"/>
  <c r="C27" i="42" s="1"/>
  <c r="G17" i="37"/>
  <c r="B18" i="41"/>
  <c r="F17" i="41"/>
  <c r="C18" i="40"/>
  <c r="C18" i="38"/>
  <c r="F18" i="36"/>
  <c r="B19" i="36"/>
  <c r="C19" i="36" s="1"/>
  <c r="G24" i="45" l="1"/>
  <c r="D25" i="45" s="1"/>
  <c r="C25" i="44"/>
  <c r="D18" i="40"/>
  <c r="D18" i="38"/>
  <c r="D18" i="37"/>
  <c r="G18" i="36"/>
  <c r="E18" i="36" s="1"/>
  <c r="B30" i="43"/>
  <c r="C30" i="43" s="1"/>
  <c r="F29" i="43"/>
  <c r="G26" i="43"/>
  <c r="B28" i="42"/>
  <c r="C28" i="42" s="1"/>
  <c r="F27" i="42"/>
  <c r="D26" i="42"/>
  <c r="G17" i="41"/>
  <c r="D18" i="41" s="1"/>
  <c r="C18" i="41"/>
  <c r="B19" i="40"/>
  <c r="F18" i="40"/>
  <c r="B19" i="38"/>
  <c r="F18" i="38"/>
  <c r="F18" i="37"/>
  <c r="B19" i="37"/>
  <c r="C19" i="37" s="1"/>
  <c r="G25" i="45" l="1"/>
  <c r="D26" i="45" s="1"/>
  <c r="D19" i="36"/>
  <c r="D27" i="43"/>
  <c r="G27" i="43" s="1"/>
  <c r="B31" i="43"/>
  <c r="C31" i="43" s="1"/>
  <c r="F30" i="43"/>
  <c r="F28" i="42"/>
  <c r="B29" i="42"/>
  <c r="C29" i="42" s="1"/>
  <c r="G26" i="42"/>
  <c r="G18" i="37"/>
  <c r="E18" i="37" s="1"/>
  <c r="G18" i="40"/>
  <c r="G18" i="38"/>
  <c r="F18" i="41"/>
  <c r="B19" i="41"/>
  <c r="C19" i="40"/>
  <c r="C19" i="38"/>
  <c r="F19" i="36"/>
  <c r="B20" i="36"/>
  <c r="C20" i="36" s="1"/>
  <c r="G26" i="45" l="1"/>
  <c r="D27" i="45" s="1"/>
  <c r="E27" i="43"/>
  <c r="D28" i="43" s="1"/>
  <c r="G28" i="43" s="1"/>
  <c r="D19" i="40"/>
  <c r="D19" i="37"/>
  <c r="B32" i="43"/>
  <c r="C32" i="43" s="1"/>
  <c r="F31" i="43"/>
  <c r="B30" i="42"/>
  <c r="C30" i="42" s="1"/>
  <c r="F29" i="42"/>
  <c r="D19" i="38"/>
  <c r="G18" i="41"/>
  <c r="D19" i="41" s="1"/>
  <c r="G19" i="36"/>
  <c r="C19" i="41"/>
  <c r="F19" i="40"/>
  <c r="B20" i="40"/>
  <c r="F19" i="38"/>
  <c r="B20" i="38"/>
  <c r="F19" i="37"/>
  <c r="B20" i="37"/>
  <c r="C20" i="37" s="1"/>
  <c r="G27" i="45" l="1"/>
  <c r="E27" i="45" s="1"/>
  <c r="D27" i="42"/>
  <c r="G27" i="42" s="1"/>
  <c r="D20" i="36"/>
  <c r="B33" i="43"/>
  <c r="C33" i="43" s="1"/>
  <c r="F32" i="43"/>
  <c r="B31" i="42"/>
  <c r="C31" i="42" s="1"/>
  <c r="F30" i="42"/>
  <c r="G19" i="40"/>
  <c r="G19" i="38"/>
  <c r="G19" i="37"/>
  <c r="B20" i="41"/>
  <c r="F19" i="41"/>
  <c r="C20" i="40"/>
  <c r="C20" i="38"/>
  <c r="F20" i="36"/>
  <c r="B21" i="36"/>
  <c r="C21" i="36" s="1"/>
  <c r="D28" i="45" l="1"/>
  <c r="D29" i="43"/>
  <c r="G29" i="43" s="1"/>
  <c r="D28" i="42"/>
  <c r="G28" i="42" s="1"/>
  <c r="F29" i="44"/>
  <c r="F33" i="44" s="1"/>
  <c r="C26" i="44"/>
  <c r="D20" i="40"/>
  <c r="D20" i="37"/>
  <c r="B34" i="43"/>
  <c r="C34" i="43" s="1"/>
  <c r="F33" i="43"/>
  <c r="F31" i="42"/>
  <c r="B32" i="42"/>
  <c r="C32" i="42" s="1"/>
  <c r="D20" i="38"/>
  <c r="G19" i="41"/>
  <c r="D20" i="41" s="1"/>
  <c r="G20" i="36"/>
  <c r="C20" i="41"/>
  <c r="B21" i="40"/>
  <c r="F20" i="40"/>
  <c r="B21" i="38"/>
  <c r="F20" i="38"/>
  <c r="B21" i="37"/>
  <c r="C21" i="37" s="1"/>
  <c r="F20" i="37"/>
  <c r="D29" i="45" l="1"/>
  <c r="D30" i="43"/>
  <c r="G30" i="43" s="1"/>
  <c r="D29" i="42"/>
  <c r="G29" i="42" s="1"/>
  <c r="F34" i="43"/>
  <c r="B35" i="43"/>
  <c r="C35" i="43" s="1"/>
  <c r="F32" i="42"/>
  <c r="B33" i="42"/>
  <c r="C33" i="42" s="1"/>
  <c r="G20" i="40"/>
  <c r="G20" i="38"/>
  <c r="G20" i="37"/>
  <c r="B21" i="41"/>
  <c r="F20" i="41"/>
  <c r="C21" i="40"/>
  <c r="C21" i="38"/>
  <c r="B22" i="36"/>
  <c r="C22" i="36" s="1"/>
  <c r="F21" i="36"/>
  <c r="G29" i="45" l="1"/>
  <c r="D31" i="43"/>
  <c r="G31" i="43" s="1"/>
  <c r="D21" i="36"/>
  <c r="G21" i="36" s="1"/>
  <c r="D30" i="42"/>
  <c r="G30" i="42" s="1"/>
  <c r="D21" i="40"/>
  <c r="D21" i="37"/>
  <c r="B36" i="43"/>
  <c r="C36" i="43" s="1"/>
  <c r="F35" i="43"/>
  <c r="F33" i="42"/>
  <c r="B34" i="42"/>
  <c r="C34" i="42" s="1"/>
  <c r="D21" i="38"/>
  <c r="G20" i="41"/>
  <c r="D21" i="41" s="1"/>
  <c r="C21" i="41"/>
  <c r="B22" i="40"/>
  <c r="F21" i="40"/>
  <c r="B22" i="38"/>
  <c r="F21" i="38"/>
  <c r="B22" i="37"/>
  <c r="C22" i="37" s="1"/>
  <c r="F21" i="37"/>
  <c r="D30" i="45" l="1"/>
  <c r="D32" i="43"/>
  <c r="G32" i="43" s="1"/>
  <c r="D31" i="42"/>
  <c r="G31" i="42" s="1"/>
  <c r="B37" i="43"/>
  <c r="C37" i="43" s="1"/>
  <c r="F36" i="43"/>
  <c r="B35" i="42"/>
  <c r="C35" i="42" s="1"/>
  <c r="F34" i="42"/>
  <c r="G21" i="38"/>
  <c r="G21" i="40"/>
  <c r="G21" i="37"/>
  <c r="B22" i="41"/>
  <c r="F21" i="41"/>
  <c r="C22" i="40"/>
  <c r="C22" i="38"/>
  <c r="B23" i="36"/>
  <c r="C23" i="36" s="1"/>
  <c r="F22" i="36"/>
  <c r="G30" i="45" l="1"/>
  <c r="D31" i="45" s="1"/>
  <c r="D33" i="43"/>
  <c r="G33" i="43" s="1"/>
  <c r="D32" i="42"/>
  <c r="G32" i="42" s="1"/>
  <c r="D22" i="36"/>
  <c r="G22" i="36" s="1"/>
  <c r="D22" i="40"/>
  <c r="F37" i="43"/>
  <c r="B38" i="43"/>
  <c r="C38" i="43" s="1"/>
  <c r="B36" i="42"/>
  <c r="C36" i="42" s="1"/>
  <c r="F35" i="42"/>
  <c r="D22" i="38"/>
  <c r="G21" i="41"/>
  <c r="D22" i="41" s="1"/>
  <c r="C22" i="41"/>
  <c r="B23" i="40"/>
  <c r="F22" i="40"/>
  <c r="F22" i="38"/>
  <c r="B23" i="38"/>
  <c r="B23" i="37"/>
  <c r="C23" i="37" s="1"/>
  <c r="F22" i="37"/>
  <c r="G31" i="45" l="1"/>
  <c r="D32" i="45" s="1"/>
  <c r="D34" i="43"/>
  <c r="G34" i="43" s="1"/>
  <c r="D33" i="42"/>
  <c r="G33" i="42" s="1"/>
  <c r="D22" i="37"/>
  <c r="G22" i="37" s="1"/>
  <c r="D23" i="36"/>
  <c r="F38" i="43"/>
  <c r="B39" i="43"/>
  <c r="C39" i="43" s="1"/>
  <c r="F36" i="42"/>
  <c r="B37" i="42"/>
  <c r="C37" i="42" s="1"/>
  <c r="G22" i="38"/>
  <c r="G22" i="40"/>
  <c r="C23" i="38"/>
  <c r="B24" i="38" s="1"/>
  <c r="F22" i="41"/>
  <c r="G22" i="41" s="1"/>
  <c r="D23" i="41" s="1"/>
  <c r="B23" i="41"/>
  <c r="C23" i="40"/>
  <c r="B24" i="36"/>
  <c r="C24" i="36" s="1"/>
  <c r="F23" i="36"/>
  <c r="G32" i="45" l="1"/>
  <c r="D33" i="45" s="1"/>
  <c r="D35" i="43"/>
  <c r="G35" i="43" s="1"/>
  <c r="D34" i="42"/>
  <c r="G34" i="42" s="1"/>
  <c r="D23" i="37"/>
  <c r="D23" i="40"/>
  <c r="B40" i="43"/>
  <c r="C40" i="43" s="1"/>
  <c r="F39" i="43"/>
  <c r="F37" i="42"/>
  <c r="B38" i="42"/>
  <c r="D23" i="38"/>
  <c r="C24" i="38"/>
  <c r="F24" i="38" s="1"/>
  <c r="F23" i="38"/>
  <c r="G23" i="36"/>
  <c r="C23" i="41"/>
  <c r="B24" i="40"/>
  <c r="F23" i="40"/>
  <c r="B24" i="37"/>
  <c r="C24" i="37" s="1"/>
  <c r="F23" i="37"/>
  <c r="G33" i="45" l="1"/>
  <c r="D34" i="45" s="1"/>
  <c r="D36" i="43"/>
  <c r="G36" i="43" s="1"/>
  <c r="D35" i="42"/>
  <c r="G35" i="42" s="1"/>
  <c r="D24" i="36"/>
  <c r="B41" i="43"/>
  <c r="C41" i="43" s="1"/>
  <c r="F40" i="43"/>
  <c r="B39" i="42"/>
  <c r="C39" i="42" s="1"/>
  <c r="F38" i="42"/>
  <c r="G23" i="40"/>
  <c r="B25" i="38"/>
  <c r="C25" i="38" s="1"/>
  <c r="G23" i="37"/>
  <c r="G23" i="38"/>
  <c r="B24" i="41"/>
  <c r="F23" i="41"/>
  <c r="G23" i="41" s="1"/>
  <c r="C24" i="40"/>
  <c r="B25" i="36"/>
  <c r="C25" i="36" s="1"/>
  <c r="F24" i="36"/>
  <c r="G34" i="45" l="1"/>
  <c r="D37" i="43"/>
  <c r="G37" i="43" s="1"/>
  <c r="D36" i="42"/>
  <c r="G36" i="42" s="1"/>
  <c r="D24" i="40"/>
  <c r="D24" i="38"/>
  <c r="G24" i="38" s="1"/>
  <c r="B26" i="38"/>
  <c r="C26" i="38" s="1"/>
  <c r="F25" i="38"/>
  <c r="D24" i="37"/>
  <c r="F41" i="43"/>
  <c r="B42" i="43"/>
  <c r="C42" i="43" s="1"/>
  <c r="B40" i="42"/>
  <c r="C40" i="42" s="1"/>
  <c r="F39" i="42"/>
  <c r="E24" i="41"/>
  <c r="D24" i="41"/>
  <c r="G24" i="36"/>
  <c r="C24" i="41"/>
  <c r="F24" i="40"/>
  <c r="B25" i="40"/>
  <c r="F24" i="37"/>
  <c r="B25" i="37"/>
  <c r="C25" i="37" s="1"/>
  <c r="D35" i="45" l="1"/>
  <c r="D38" i="43"/>
  <c r="G38" i="43" s="1"/>
  <c r="D37" i="42"/>
  <c r="G37" i="42" s="1"/>
  <c r="D25" i="38"/>
  <c r="G25" i="38" s="1"/>
  <c r="F26" i="38"/>
  <c r="B27" i="38"/>
  <c r="C27" i="38" s="1"/>
  <c r="D25" i="36"/>
  <c r="B43" i="43"/>
  <c r="C43" i="43" s="1"/>
  <c r="F42" i="43"/>
  <c r="B41" i="42"/>
  <c r="C41" i="42" s="1"/>
  <c r="F40" i="42"/>
  <c r="G24" i="40"/>
  <c r="G24" i="37"/>
  <c r="F24" i="41"/>
  <c r="G24" i="41" s="1"/>
  <c r="D25" i="41" s="1"/>
  <c r="B25" i="41"/>
  <c r="C25" i="40"/>
  <c r="B26" i="36"/>
  <c r="C26" i="36" s="1"/>
  <c r="F25" i="36"/>
  <c r="G35" i="45" l="1"/>
  <c r="D39" i="43"/>
  <c r="G39" i="43" s="1"/>
  <c r="B28" i="38"/>
  <c r="C28" i="38" s="1"/>
  <c r="F27" i="38"/>
  <c r="D25" i="40"/>
  <c r="D25" i="37"/>
  <c r="D38" i="42"/>
  <c r="G38" i="42" s="1"/>
  <c r="E38" i="42" s="1"/>
  <c r="F43" i="43"/>
  <c r="B44" i="43"/>
  <c r="C44" i="43" s="1"/>
  <c r="F41" i="42"/>
  <c r="B42" i="42"/>
  <c r="C42" i="42" s="1"/>
  <c r="G25" i="36"/>
  <c r="C25" i="41"/>
  <c r="B26" i="40"/>
  <c r="F25" i="40"/>
  <c r="B26" i="37"/>
  <c r="C26" i="37" s="1"/>
  <c r="F25" i="37"/>
  <c r="D36" i="45" l="1"/>
  <c r="B29" i="38"/>
  <c r="C29" i="38" s="1"/>
  <c r="F28" i="38"/>
  <c r="D26" i="38"/>
  <c r="D26" i="36"/>
  <c r="B45" i="43"/>
  <c r="C45" i="43" s="1"/>
  <c r="F44" i="43"/>
  <c r="D40" i="43"/>
  <c r="F42" i="42"/>
  <c r="B43" i="42"/>
  <c r="C43" i="42" s="1"/>
  <c r="D39" i="42"/>
  <c r="G25" i="37"/>
  <c r="G25" i="40"/>
  <c r="B26" i="41"/>
  <c r="F25" i="41"/>
  <c r="G25" i="41" s="1"/>
  <c r="D26" i="41" s="1"/>
  <c r="C26" i="40"/>
  <c r="F26" i="36"/>
  <c r="B27" i="36"/>
  <c r="C27" i="36" s="1"/>
  <c r="G36" i="45" l="1"/>
  <c r="D37" i="45" s="1"/>
  <c r="B30" i="38"/>
  <c r="C30" i="38" s="1"/>
  <c r="F29" i="38"/>
  <c r="G26" i="38"/>
  <c r="D26" i="40"/>
  <c r="D26" i="37"/>
  <c r="G40" i="43"/>
  <c r="E40" i="43" s="1"/>
  <c r="B46" i="43"/>
  <c r="C46" i="43" s="1"/>
  <c r="F45" i="43"/>
  <c r="B44" i="42"/>
  <c r="C44" i="42" s="1"/>
  <c r="F43" i="42"/>
  <c r="G39" i="42"/>
  <c r="G26" i="36"/>
  <c r="C26" i="41"/>
  <c r="F26" i="40"/>
  <c r="B27" i="40"/>
  <c r="F26" i="37"/>
  <c r="B27" i="37"/>
  <c r="C27" i="37" s="1"/>
  <c r="G37" i="45" l="1"/>
  <c r="D38" i="45" s="1"/>
  <c r="D27" i="38"/>
  <c r="G27" i="38" s="1"/>
  <c r="D28" i="38" s="1"/>
  <c r="G28" i="38" s="1"/>
  <c r="D29" i="38" s="1"/>
  <c r="B31" i="38"/>
  <c r="F30" i="38"/>
  <c r="D27" i="36"/>
  <c r="D40" i="42"/>
  <c r="G40" i="42" s="1"/>
  <c r="F46" i="43"/>
  <c r="B47" i="43"/>
  <c r="C47" i="43" s="1"/>
  <c r="D41" i="43"/>
  <c r="B45" i="42"/>
  <c r="C45" i="42" s="1"/>
  <c r="F44" i="42"/>
  <c r="G26" i="37"/>
  <c r="G26" i="40"/>
  <c r="B27" i="41"/>
  <c r="F26" i="41"/>
  <c r="C27" i="40"/>
  <c r="F27" i="36"/>
  <c r="B28" i="36"/>
  <c r="C28" i="36" s="1"/>
  <c r="G38" i="45" l="1"/>
  <c r="D39" i="45" s="1"/>
  <c r="B32" i="38"/>
  <c r="F31" i="38"/>
  <c r="G29" i="38"/>
  <c r="D30" i="38" s="1"/>
  <c r="D27" i="37"/>
  <c r="B48" i="43"/>
  <c r="C48" i="43" s="1"/>
  <c r="F47" i="43"/>
  <c r="G41" i="43"/>
  <c r="B46" i="42"/>
  <c r="C46" i="42" s="1"/>
  <c r="F45" i="42"/>
  <c r="G27" i="36"/>
  <c r="G26" i="41"/>
  <c r="D27" i="41" s="1"/>
  <c r="C27" i="41"/>
  <c r="B28" i="40"/>
  <c r="F27" i="40"/>
  <c r="B28" i="37"/>
  <c r="C28" i="37" s="1"/>
  <c r="F27" i="37"/>
  <c r="G39" i="45" l="1"/>
  <c r="D40" i="45" s="1"/>
  <c r="D41" i="42"/>
  <c r="G41" i="42" s="1"/>
  <c r="G30" i="38"/>
  <c r="D31" i="38" s="1"/>
  <c r="D27" i="40"/>
  <c r="G27" i="40" s="1"/>
  <c r="G27" i="37"/>
  <c r="D28" i="36"/>
  <c r="B49" i="43"/>
  <c r="C49" i="43" s="1"/>
  <c r="F48" i="43"/>
  <c r="B47" i="42"/>
  <c r="C47" i="42" s="1"/>
  <c r="F46" i="42"/>
  <c r="B28" i="41"/>
  <c r="F27" i="41"/>
  <c r="C28" i="40"/>
  <c r="F28" i="36"/>
  <c r="B29" i="36"/>
  <c r="C29" i="36" s="1"/>
  <c r="G40" i="45" l="1"/>
  <c r="D41" i="45" s="1"/>
  <c r="G41" i="45" s="1"/>
  <c r="D42" i="43"/>
  <c r="G42" i="43" s="1"/>
  <c r="D42" i="42"/>
  <c r="G42" i="42" s="1"/>
  <c r="D43" i="42" s="1"/>
  <c r="G43" i="42" s="1"/>
  <c r="C37" i="38"/>
  <c r="D37" i="38" s="1"/>
  <c r="G31" i="38"/>
  <c r="D28" i="37"/>
  <c r="D28" i="40"/>
  <c r="G28" i="36"/>
  <c r="B50" i="43"/>
  <c r="C50" i="43" s="1"/>
  <c r="F49" i="43"/>
  <c r="F47" i="42"/>
  <c r="B48" i="42"/>
  <c r="C48" i="42" s="1"/>
  <c r="G27" i="41"/>
  <c r="D28" i="41" s="1"/>
  <c r="C28" i="41"/>
  <c r="F28" i="40"/>
  <c r="B29" i="40"/>
  <c r="F28" i="37"/>
  <c r="B29" i="37"/>
  <c r="C29" i="37" s="1"/>
  <c r="E31" i="38" l="1"/>
  <c r="D32" i="38" s="1"/>
  <c r="G32" i="38" s="1"/>
  <c r="C48" i="45"/>
  <c r="C49" i="45" s="1"/>
  <c r="F54" i="45"/>
  <c r="F60" i="45" s="1"/>
  <c r="D43" i="43"/>
  <c r="G43" i="43" s="1"/>
  <c r="D44" i="42"/>
  <c r="G44" i="42" s="1"/>
  <c r="G28" i="40"/>
  <c r="G28" i="37"/>
  <c r="D29" i="36"/>
  <c r="F50" i="43"/>
  <c r="B51" i="43"/>
  <c r="C51" i="43" s="1"/>
  <c r="F48" i="42"/>
  <c r="B49" i="42"/>
  <c r="C49" i="42" s="1"/>
  <c r="B29" i="41"/>
  <c r="F28" i="41"/>
  <c r="C29" i="40"/>
  <c r="F29" i="36"/>
  <c r="B30" i="36"/>
  <c r="C30" i="36" s="1"/>
  <c r="D44" i="43" l="1"/>
  <c r="G44" i="43" s="1"/>
  <c r="D45" i="42"/>
  <c r="G45" i="42" s="1"/>
  <c r="G29" i="36"/>
  <c r="D30" i="36" s="1"/>
  <c r="D29" i="40"/>
  <c r="D29" i="37"/>
  <c r="B52" i="43"/>
  <c r="C52" i="43" s="1"/>
  <c r="F51" i="43"/>
  <c r="B50" i="42"/>
  <c r="C50" i="42" s="1"/>
  <c r="F49" i="42"/>
  <c r="G28" i="41"/>
  <c r="D29" i="41" s="1"/>
  <c r="C29" i="41"/>
  <c r="B30" i="40"/>
  <c r="F29" i="40"/>
  <c r="B30" i="37"/>
  <c r="C30" i="37" s="1"/>
  <c r="F29" i="37"/>
  <c r="D45" i="43" l="1"/>
  <c r="G45" i="43" s="1"/>
  <c r="D46" i="42"/>
  <c r="G46" i="42" s="1"/>
  <c r="G29" i="40"/>
  <c r="G29" i="37"/>
  <c r="B51" i="42"/>
  <c r="F50" i="42"/>
  <c r="F52" i="43"/>
  <c r="B53" i="43"/>
  <c r="C53" i="43" s="1"/>
  <c r="B30" i="41"/>
  <c r="F29" i="41"/>
  <c r="C30" i="40"/>
  <c r="B31" i="36"/>
  <c r="F30" i="36"/>
  <c r="G30" i="36" s="1"/>
  <c r="D46" i="43" l="1"/>
  <c r="G46" i="43" s="1"/>
  <c r="E37" i="38"/>
  <c r="C40" i="38" s="1"/>
  <c r="D30" i="40"/>
  <c r="D31" i="36"/>
  <c r="D47" i="42"/>
  <c r="G47" i="42" s="1"/>
  <c r="D30" i="37"/>
  <c r="B52" i="42"/>
  <c r="F51" i="42"/>
  <c r="B54" i="43"/>
  <c r="C54" i="43" s="1"/>
  <c r="F53" i="43"/>
  <c r="G29" i="41"/>
  <c r="D30" i="41" s="1"/>
  <c r="C30" i="41"/>
  <c r="B31" i="40"/>
  <c r="F30" i="40"/>
  <c r="B31" i="37"/>
  <c r="F30" i="37"/>
  <c r="D47" i="43" l="1"/>
  <c r="G47" i="43" s="1"/>
  <c r="D48" i="43" s="1"/>
  <c r="G48" i="43" s="1"/>
  <c r="C38" i="38"/>
  <c r="G30" i="40"/>
  <c r="D31" i="40" s="1"/>
  <c r="G30" i="37"/>
  <c r="D31" i="37" s="1"/>
  <c r="D48" i="42"/>
  <c r="G48" i="42" s="1"/>
  <c r="B55" i="43"/>
  <c r="C55" i="43" s="1"/>
  <c r="F54" i="43"/>
  <c r="B31" i="41"/>
  <c r="F30" i="41"/>
  <c r="C31" i="40"/>
  <c r="B32" i="36"/>
  <c r="C32" i="36" s="1"/>
  <c r="F31" i="36"/>
  <c r="D49" i="43" l="1"/>
  <c r="G49" i="43" s="1"/>
  <c r="D49" i="42"/>
  <c r="G49" i="42" s="1"/>
  <c r="C56" i="42"/>
  <c r="D56" i="42" s="1"/>
  <c r="F55" i="43"/>
  <c r="B56" i="43"/>
  <c r="C56" i="43" s="1"/>
  <c r="G30" i="41"/>
  <c r="D31" i="41" s="1"/>
  <c r="G31" i="36"/>
  <c r="E31" i="36" s="1"/>
  <c r="C31" i="41"/>
  <c r="B32" i="40"/>
  <c r="F31" i="40"/>
  <c r="G31" i="40" s="1"/>
  <c r="E31" i="40" s="1"/>
  <c r="B32" i="37"/>
  <c r="C32" i="37" s="1"/>
  <c r="F31" i="37"/>
  <c r="G31" i="37" s="1"/>
  <c r="E31" i="37" s="1"/>
  <c r="D32" i="36" l="1"/>
  <c r="D50" i="43"/>
  <c r="G50" i="43" s="1"/>
  <c r="D32" i="40"/>
  <c r="D50" i="42"/>
  <c r="D32" i="37"/>
  <c r="F56" i="43"/>
  <c r="B57" i="43"/>
  <c r="C57" i="43" s="1"/>
  <c r="F31" i="41"/>
  <c r="B32" i="41"/>
  <c r="C32" i="40"/>
  <c r="B33" i="36"/>
  <c r="C33" i="36" s="1"/>
  <c r="F32" i="36"/>
  <c r="D51" i="43" l="1"/>
  <c r="G51" i="43" s="1"/>
  <c r="G50" i="42"/>
  <c r="B58" i="43"/>
  <c r="C58" i="43" s="1"/>
  <c r="F57" i="43"/>
  <c r="G31" i="41"/>
  <c r="D32" i="41" s="1"/>
  <c r="G32" i="36"/>
  <c r="C32" i="41"/>
  <c r="B33" i="40"/>
  <c r="F32" i="40"/>
  <c r="B33" i="37"/>
  <c r="C33" i="37" s="1"/>
  <c r="F32" i="37"/>
  <c r="D51" i="42" l="1"/>
  <c r="G51" i="42" s="1"/>
  <c r="D52" i="43"/>
  <c r="G52" i="43" s="1"/>
  <c r="B59" i="43"/>
  <c r="C59" i="43" s="1"/>
  <c r="F58" i="43"/>
  <c r="G32" i="40"/>
  <c r="G32" i="37"/>
  <c r="B33" i="41"/>
  <c r="F32" i="41"/>
  <c r="C33" i="40"/>
  <c r="B34" i="36"/>
  <c r="C34" i="36" s="1"/>
  <c r="F33" i="36"/>
  <c r="E51" i="42" l="1"/>
  <c r="D52" i="42" s="1"/>
  <c r="G52" i="42" s="1"/>
  <c r="D33" i="36"/>
  <c r="F42" i="38"/>
  <c r="D33" i="40"/>
  <c r="D33" i="37"/>
  <c r="F59" i="43"/>
  <c r="B60" i="43"/>
  <c r="C60" i="43" s="1"/>
  <c r="D53" i="43"/>
  <c r="G32" i="41"/>
  <c r="D33" i="41" s="1"/>
  <c r="C33" i="41"/>
  <c r="B34" i="40"/>
  <c r="F33" i="40"/>
  <c r="F33" i="37"/>
  <c r="B34" i="37"/>
  <c r="C34" i="37" s="1"/>
  <c r="B61" i="43" l="1"/>
  <c r="C61" i="43" s="1"/>
  <c r="F60" i="43"/>
  <c r="G53" i="43"/>
  <c r="E53" i="43" s="1"/>
  <c r="G33" i="40"/>
  <c r="G33" i="37"/>
  <c r="F33" i="41"/>
  <c r="B34" i="41"/>
  <c r="C34" i="40"/>
  <c r="B35" i="36"/>
  <c r="C35" i="36" s="1"/>
  <c r="F34" i="36"/>
  <c r="D34" i="40" l="1"/>
  <c r="D54" i="43"/>
  <c r="G54" i="43" s="1"/>
  <c r="D34" i="37"/>
  <c r="B62" i="43"/>
  <c r="C62" i="43" s="1"/>
  <c r="F61" i="43"/>
  <c r="G33" i="41"/>
  <c r="D34" i="41" s="1"/>
  <c r="C34" i="41"/>
  <c r="B35" i="40"/>
  <c r="F34" i="40"/>
  <c r="B35" i="37"/>
  <c r="C35" i="37" s="1"/>
  <c r="F34" i="37"/>
  <c r="C57" i="42" l="1"/>
  <c r="C39" i="38"/>
  <c r="F62" i="43"/>
  <c r="B63" i="43"/>
  <c r="C63" i="43" s="1"/>
  <c r="G34" i="40"/>
  <c r="G34" i="37"/>
  <c r="B35" i="41"/>
  <c r="F34" i="41"/>
  <c r="G34" i="41" s="1"/>
  <c r="D35" i="41" s="1"/>
  <c r="C35" i="40"/>
  <c r="B36" i="36"/>
  <c r="C36" i="36" s="1"/>
  <c r="F35" i="36"/>
  <c r="D55" i="43" l="1"/>
  <c r="G55" i="43" s="1"/>
  <c r="D35" i="40"/>
  <c r="D35" i="37"/>
  <c r="B64" i="43"/>
  <c r="C64" i="43" s="1"/>
  <c r="F63" i="43"/>
  <c r="C35" i="41"/>
  <c r="F35" i="40"/>
  <c r="B36" i="40"/>
  <c r="F35" i="37"/>
  <c r="B36" i="37"/>
  <c r="C36" i="37" s="1"/>
  <c r="D56" i="43" l="1"/>
  <c r="G56" i="43" s="1"/>
  <c r="B65" i="43"/>
  <c r="C65" i="43" s="1"/>
  <c r="F64" i="43"/>
  <c r="G35" i="40"/>
  <c r="G35" i="37"/>
  <c r="B36" i="41"/>
  <c r="F35" i="41"/>
  <c r="G35" i="41" s="1"/>
  <c r="D36" i="41" s="1"/>
  <c r="C36" i="40"/>
  <c r="F36" i="36"/>
  <c r="B37" i="36"/>
  <c r="C37" i="36" s="1"/>
  <c r="D57" i="43" l="1"/>
  <c r="G57" i="43" s="1"/>
  <c r="D36" i="37"/>
  <c r="D36" i="40"/>
  <c r="B66" i="43"/>
  <c r="C66" i="43" s="1"/>
  <c r="F65" i="43"/>
  <c r="E56" i="42"/>
  <c r="C59" i="42" s="1"/>
  <c r="C36" i="41"/>
  <c r="B37" i="40"/>
  <c r="F36" i="40"/>
  <c r="B37" i="37"/>
  <c r="C37" i="37" s="1"/>
  <c r="F36" i="37"/>
  <c r="D58" i="43" l="1"/>
  <c r="G58" i="43" s="1"/>
  <c r="B67" i="43"/>
  <c r="C67" i="43" s="1"/>
  <c r="F66" i="43"/>
  <c r="G36" i="40"/>
  <c r="G36" i="37"/>
  <c r="B37" i="41"/>
  <c r="F36" i="41"/>
  <c r="G36" i="41" s="1"/>
  <c r="C37" i="40"/>
  <c r="F37" i="36"/>
  <c r="B38" i="36"/>
  <c r="C38" i="36" s="1"/>
  <c r="D59" i="43" l="1"/>
  <c r="G59" i="43" s="1"/>
  <c r="D37" i="40"/>
  <c r="D37" i="37"/>
  <c r="B68" i="43"/>
  <c r="C68" i="43" s="1"/>
  <c r="F67" i="43"/>
  <c r="C58" i="42"/>
  <c r="F61" i="42"/>
  <c r="F65" i="42" s="1"/>
  <c r="E37" i="41"/>
  <c r="D37" i="41"/>
  <c r="C37" i="41"/>
  <c r="F37" i="40"/>
  <c r="B38" i="40"/>
  <c r="F37" i="37"/>
  <c r="B38" i="37"/>
  <c r="C38" i="37" s="1"/>
  <c r="D60" i="43" l="1"/>
  <c r="G60" i="43" s="1"/>
  <c r="B69" i="43"/>
  <c r="C69" i="43" s="1"/>
  <c r="F68" i="43"/>
  <c r="G37" i="40"/>
  <c r="G37" i="37"/>
  <c r="B38" i="41"/>
  <c r="F37" i="41"/>
  <c r="G37" i="41" s="1"/>
  <c r="D38" i="41" s="1"/>
  <c r="C38" i="40"/>
  <c r="F38" i="36"/>
  <c r="B39" i="36"/>
  <c r="C39" i="36" s="1"/>
  <c r="D61" i="43" l="1"/>
  <c r="G61" i="43" s="1"/>
  <c r="D38" i="40"/>
  <c r="D38" i="37"/>
  <c r="B70" i="43"/>
  <c r="C70" i="43" s="1"/>
  <c r="F69" i="43"/>
  <c r="C38" i="41"/>
  <c r="B39" i="40"/>
  <c r="F38" i="40"/>
  <c r="F38" i="37"/>
  <c r="B39" i="37"/>
  <c r="C39" i="37" s="1"/>
  <c r="D62" i="43" l="1"/>
  <c r="G62" i="43" s="1"/>
  <c r="B71" i="43"/>
  <c r="C71" i="43" s="1"/>
  <c r="F70" i="43"/>
  <c r="G38" i="40"/>
  <c r="G38" i="37"/>
  <c r="F38" i="41"/>
  <c r="G38" i="41" s="1"/>
  <c r="D39" i="41" s="1"/>
  <c r="B39" i="41"/>
  <c r="C39" i="40"/>
  <c r="B40" i="36"/>
  <c r="C40" i="36" s="1"/>
  <c r="F39" i="36"/>
  <c r="D63" i="43" l="1"/>
  <c r="G63" i="43" s="1"/>
  <c r="B72" i="43"/>
  <c r="C72" i="43" s="1"/>
  <c r="D39" i="40"/>
  <c r="D39" i="37"/>
  <c r="C39" i="41"/>
  <c r="B40" i="40"/>
  <c r="F39" i="40"/>
  <c r="B40" i="37"/>
  <c r="C40" i="37" s="1"/>
  <c r="F39" i="37"/>
  <c r="D64" i="43" l="1"/>
  <c r="G64" i="43" s="1"/>
  <c r="F71" i="43"/>
  <c r="F72" i="43"/>
  <c r="B73" i="43"/>
  <c r="C73" i="43" s="1"/>
  <c r="G39" i="40"/>
  <c r="E63" i="40"/>
  <c r="G39" i="37"/>
  <c r="B40" i="41"/>
  <c r="F39" i="41"/>
  <c r="C40" i="40"/>
  <c r="B41" i="36"/>
  <c r="C41" i="36" s="1"/>
  <c r="F40" i="36"/>
  <c r="D65" i="43" l="1"/>
  <c r="G65" i="43" s="1"/>
  <c r="F73" i="43"/>
  <c r="D40" i="37"/>
  <c r="G39" i="41"/>
  <c r="D40" i="41" s="1"/>
  <c r="C40" i="41"/>
  <c r="B41" i="40"/>
  <c r="F40" i="40"/>
  <c r="B41" i="37"/>
  <c r="C41" i="37" s="1"/>
  <c r="F40" i="37"/>
  <c r="B74" i="43" l="1"/>
  <c r="D66" i="43"/>
  <c r="G66" i="43" s="1"/>
  <c r="E66" i="43" s="1"/>
  <c r="D40" i="40"/>
  <c r="G40" i="40" s="1"/>
  <c r="G40" i="37"/>
  <c r="F40" i="41"/>
  <c r="B41" i="41"/>
  <c r="C41" i="40"/>
  <c r="B42" i="36"/>
  <c r="C42" i="36" s="1"/>
  <c r="F41" i="36"/>
  <c r="C74" i="43" l="1"/>
  <c r="F74" i="43" s="1"/>
  <c r="D41" i="37"/>
  <c r="D41" i="40"/>
  <c r="D67" i="43"/>
  <c r="G67" i="43" s="1"/>
  <c r="G40" i="41"/>
  <c r="D41" i="41" s="1"/>
  <c r="C41" i="41"/>
  <c r="B42" i="40"/>
  <c r="F41" i="40"/>
  <c r="B42" i="37"/>
  <c r="C42" i="37" s="1"/>
  <c r="F41" i="37"/>
  <c r="B75" i="43" l="1"/>
  <c r="C75" i="43" s="1"/>
  <c r="F75" i="43" s="1"/>
  <c r="G41" i="37"/>
  <c r="G41" i="40"/>
  <c r="D68" i="43"/>
  <c r="G68" i="43" s="1"/>
  <c r="B42" i="41"/>
  <c r="F41" i="41"/>
  <c r="C42" i="40"/>
  <c r="B43" i="36"/>
  <c r="C43" i="36" s="1"/>
  <c r="F42" i="36"/>
  <c r="B76" i="43" l="1"/>
  <c r="C76" i="43"/>
  <c r="F76" i="43" s="1"/>
  <c r="D42" i="40"/>
  <c r="D42" i="37"/>
  <c r="D69" i="43"/>
  <c r="G41" i="41"/>
  <c r="D42" i="41" s="1"/>
  <c r="C42" i="41"/>
  <c r="F42" i="40"/>
  <c r="B43" i="40"/>
  <c r="F42" i="37"/>
  <c r="B43" i="37"/>
  <c r="C43" i="37" s="1"/>
  <c r="B77" i="43" l="1"/>
  <c r="C77" i="43" s="1"/>
  <c r="B78" i="43" s="1"/>
  <c r="C78" i="43" s="1"/>
  <c r="F78" i="43" s="1"/>
  <c r="G42" i="40"/>
  <c r="G42" i="37"/>
  <c r="G69" i="43"/>
  <c r="F42" i="41"/>
  <c r="B43" i="41"/>
  <c r="C43" i="40"/>
  <c r="B44" i="36"/>
  <c r="F43" i="36"/>
  <c r="B79" i="43" l="1"/>
  <c r="C79" i="43" s="1"/>
  <c r="F79" i="43" s="1"/>
  <c r="F77" i="43"/>
  <c r="D43" i="40"/>
  <c r="D43" i="37"/>
  <c r="D70" i="43"/>
  <c r="G42" i="41"/>
  <c r="D43" i="41" s="1"/>
  <c r="C43" i="41"/>
  <c r="B44" i="40"/>
  <c r="F43" i="40"/>
  <c r="B44" i="37"/>
  <c r="F43" i="37"/>
  <c r="B80" i="43" l="1"/>
  <c r="C80" i="43" s="1"/>
  <c r="G43" i="40"/>
  <c r="D44" i="40" s="1"/>
  <c r="G43" i="37"/>
  <c r="G70" i="43"/>
  <c r="B44" i="41"/>
  <c r="F43" i="41"/>
  <c r="C44" i="40"/>
  <c r="B45" i="36"/>
  <c r="C45" i="36" s="1"/>
  <c r="F44" i="36"/>
  <c r="D44" i="37" l="1"/>
  <c r="G43" i="41"/>
  <c r="D44" i="41" s="1"/>
  <c r="C44" i="41"/>
  <c r="F44" i="40"/>
  <c r="G44" i="40" s="1"/>
  <c r="E44" i="40" s="1"/>
  <c r="B45" i="40"/>
  <c r="F44" i="37"/>
  <c r="B45" i="37"/>
  <c r="C45" i="37" s="1"/>
  <c r="C84" i="43" l="1"/>
  <c r="G44" i="37"/>
  <c r="D45" i="40"/>
  <c r="B45" i="41"/>
  <c r="F44" i="41"/>
  <c r="C45" i="40"/>
  <c r="F45" i="36"/>
  <c r="B46" i="36"/>
  <c r="C46" i="36" s="1"/>
  <c r="E44" i="37" l="1"/>
  <c r="D45" i="37" s="1"/>
  <c r="D84" i="43"/>
  <c r="E84" i="43" s="1"/>
  <c r="C87" i="43" s="1"/>
  <c r="G44" i="41"/>
  <c r="D45" i="41" s="1"/>
  <c r="C45" i="41"/>
  <c r="B46" i="40"/>
  <c r="F45" i="40"/>
  <c r="B46" i="37"/>
  <c r="C46" i="37" s="1"/>
  <c r="F45" i="37"/>
  <c r="G45" i="40" l="1"/>
  <c r="G45" i="37"/>
  <c r="B46" i="41"/>
  <c r="F45" i="41"/>
  <c r="C46" i="40"/>
  <c r="F46" i="36"/>
  <c r="B47" i="36"/>
  <c r="C47" i="36" s="1"/>
  <c r="D46" i="40" l="1"/>
  <c r="D46" i="37"/>
  <c r="G45" i="41"/>
  <c r="D46" i="41" s="1"/>
  <c r="C46" i="41"/>
  <c r="F46" i="40"/>
  <c r="B47" i="40"/>
  <c r="F46" i="37"/>
  <c r="B47" i="37"/>
  <c r="C47" i="37" s="1"/>
  <c r="G46" i="40" l="1"/>
  <c r="G46" i="37"/>
  <c r="B47" i="41"/>
  <c r="F46" i="41"/>
  <c r="G46" i="41" s="1"/>
  <c r="D47" i="41" s="1"/>
  <c r="C47" i="40"/>
  <c r="F47" i="36"/>
  <c r="B48" i="36"/>
  <c r="C48" i="36" s="1"/>
  <c r="D47" i="40" l="1"/>
  <c r="D47" i="37"/>
  <c r="C47" i="41"/>
  <c r="B48" i="40"/>
  <c r="F47" i="40"/>
  <c r="B48" i="37"/>
  <c r="C48" i="37" s="1"/>
  <c r="F47" i="37"/>
  <c r="G47" i="40" l="1"/>
  <c r="G47" i="37"/>
  <c r="F47" i="41"/>
  <c r="G47" i="41" s="1"/>
  <c r="D48" i="41" s="1"/>
  <c r="B48" i="41"/>
  <c r="C48" i="40"/>
  <c r="B49" i="36"/>
  <c r="C49" i="36" s="1"/>
  <c r="F48" i="36"/>
  <c r="D48" i="40" l="1"/>
  <c r="D48" i="37"/>
  <c r="C48" i="41"/>
  <c r="B49" i="40"/>
  <c r="C49" i="40" s="1"/>
  <c r="F48" i="40"/>
  <c r="B49" i="37"/>
  <c r="C49" i="37" s="1"/>
  <c r="F48" i="37"/>
  <c r="F49" i="40" l="1"/>
  <c r="B50" i="40"/>
  <c r="C50" i="40" s="1"/>
  <c r="G48" i="40"/>
  <c r="G48" i="37"/>
  <c r="B49" i="41"/>
  <c r="F48" i="41"/>
  <c r="G48" i="41" s="1"/>
  <c r="D49" i="41" s="1"/>
  <c r="B50" i="36"/>
  <c r="C50" i="36" s="1"/>
  <c r="F49" i="36"/>
  <c r="D49" i="40" l="1"/>
  <c r="D49" i="37"/>
  <c r="B51" i="40"/>
  <c r="C51" i="40" s="1"/>
  <c r="B52" i="40" s="1"/>
  <c r="C52" i="40" s="1"/>
  <c r="F50" i="40"/>
  <c r="C49" i="41"/>
  <c r="B50" i="37"/>
  <c r="C50" i="37" s="1"/>
  <c r="F49" i="37"/>
  <c r="B53" i="40" l="1"/>
  <c r="C53" i="40" s="1"/>
  <c r="F52" i="40"/>
  <c r="F51" i="40"/>
  <c r="G49" i="40"/>
  <c r="G49" i="37"/>
  <c r="F49" i="41"/>
  <c r="G49" i="41" s="1"/>
  <c r="D50" i="41" s="1"/>
  <c r="B50" i="41"/>
  <c r="B51" i="36"/>
  <c r="C51" i="36" s="1"/>
  <c r="F50" i="36"/>
  <c r="D50" i="40" l="1"/>
  <c r="B54" i="40"/>
  <c r="C54" i="40" s="1"/>
  <c r="F53" i="40"/>
  <c r="D50" i="37"/>
  <c r="C50" i="41"/>
  <c r="B51" i="37"/>
  <c r="C51" i="37" s="1"/>
  <c r="F50" i="37"/>
  <c r="B55" i="40" l="1"/>
  <c r="C55" i="40" s="1"/>
  <c r="F54" i="40"/>
  <c r="G50" i="40"/>
  <c r="G50" i="37"/>
  <c r="B52" i="36"/>
  <c r="C52" i="36" s="1"/>
  <c r="F51" i="36"/>
  <c r="D51" i="40" l="1"/>
  <c r="G51" i="40" s="1"/>
  <c r="B56" i="40"/>
  <c r="C56" i="40" s="1"/>
  <c r="F55" i="40"/>
  <c r="D51" i="37"/>
  <c r="G50" i="41"/>
  <c r="E50" i="41" s="1"/>
  <c r="F51" i="37"/>
  <c r="B52" i="37"/>
  <c r="C52" i="37" s="1"/>
  <c r="B57" i="40" l="1"/>
  <c r="C57" i="40" s="1"/>
  <c r="F56" i="40"/>
  <c r="F76" i="41"/>
  <c r="G51" i="37"/>
  <c r="B53" i="36"/>
  <c r="C53" i="36" s="1"/>
  <c r="F52" i="36"/>
  <c r="B58" i="40" l="1"/>
  <c r="F57" i="40"/>
  <c r="D52" i="40"/>
  <c r="D52" i="37"/>
  <c r="B53" i="37"/>
  <c r="C53" i="37" s="1"/>
  <c r="F52" i="37"/>
  <c r="B59" i="40" l="1"/>
  <c r="F58" i="40"/>
  <c r="G52" i="40"/>
  <c r="G52" i="37"/>
  <c r="F53" i="36"/>
  <c r="B54" i="36"/>
  <c r="C54" i="36" s="1"/>
  <c r="D53" i="40" l="1"/>
  <c r="G53" i="40" s="1"/>
  <c r="D54" i="40" s="1"/>
  <c r="G54" i="40" s="1"/>
  <c r="D55" i="40" s="1"/>
  <c r="G55" i="40" s="1"/>
  <c r="D56" i="40" s="1"/>
  <c r="G56" i="40" s="1"/>
  <c r="D57" i="40" s="1"/>
  <c r="G57" i="40" s="1"/>
  <c r="D58" i="40" s="1"/>
  <c r="G58" i="40" s="1"/>
  <c r="D53" i="37"/>
  <c r="F53" i="37"/>
  <c r="B54" i="37"/>
  <c r="C54" i="37" s="1"/>
  <c r="E58" i="40" l="1"/>
  <c r="D59" i="40" s="1"/>
  <c r="G59" i="40" s="1"/>
  <c r="G53" i="37"/>
  <c r="C69" i="41"/>
  <c r="F54" i="36"/>
  <c r="B55" i="36"/>
  <c r="C55" i="36" s="1"/>
  <c r="C63" i="40" l="1"/>
  <c r="D63" i="40" s="1"/>
  <c r="D54" i="37"/>
  <c r="B55" i="37"/>
  <c r="C55" i="37" s="1"/>
  <c r="F54" i="37"/>
  <c r="G54" i="37" l="1"/>
  <c r="C64" i="40"/>
  <c r="F55" i="36"/>
  <c r="B56" i="36"/>
  <c r="C56" i="36" s="1"/>
  <c r="D55" i="37" l="1"/>
  <c r="B56" i="37"/>
  <c r="C56" i="37" s="1"/>
  <c r="F55" i="37"/>
  <c r="G55" i="37" l="1"/>
  <c r="C70" i="41"/>
  <c r="F56" i="36"/>
  <c r="B57" i="36"/>
  <c r="D56" i="37" l="1"/>
  <c r="B57" i="37"/>
  <c r="F56" i="37"/>
  <c r="G56" i="37" l="1"/>
  <c r="B58" i="36"/>
  <c r="C58" i="36" s="1"/>
  <c r="F57" i="36"/>
  <c r="D57" i="37" l="1"/>
  <c r="B58" i="37"/>
  <c r="C58" i="37" s="1"/>
  <c r="F57" i="37"/>
  <c r="G57" i="37" l="1"/>
  <c r="B59" i="36"/>
  <c r="C59" i="36" s="1"/>
  <c r="F58" i="36"/>
  <c r="E57" i="37" l="1"/>
  <c r="D58" i="37" s="1"/>
  <c r="B59" i="37"/>
  <c r="C59" i="37" s="1"/>
  <c r="F58" i="37"/>
  <c r="G58" i="37" l="1"/>
  <c r="B60" i="36"/>
  <c r="C60" i="36" s="1"/>
  <c r="F59" i="36"/>
  <c r="D59" i="37" l="1"/>
  <c r="B60" i="37"/>
  <c r="C60" i="37" s="1"/>
  <c r="F59" i="37"/>
  <c r="G59" i="37" l="1"/>
  <c r="D69" i="41"/>
  <c r="E69" i="41" s="1"/>
  <c r="C72" i="41" s="1"/>
  <c r="B61" i="36"/>
  <c r="C61" i="36" s="1"/>
  <c r="F60" i="36"/>
  <c r="F74" i="41" l="1"/>
  <c r="F60" i="37"/>
  <c r="B61" i="37"/>
  <c r="C61" i="37" s="1"/>
  <c r="D60" i="37" l="1"/>
  <c r="G60" i="37" s="1"/>
  <c r="C71" i="41"/>
  <c r="F78" i="41"/>
  <c r="B62" i="36"/>
  <c r="C62" i="36" s="1"/>
  <c r="F61" i="36"/>
  <c r="D61" i="37" l="1"/>
  <c r="F62" i="36"/>
  <c r="B63" i="36"/>
  <c r="C63" i="36" s="1"/>
  <c r="C78" i="41"/>
  <c r="B62" i="37"/>
  <c r="C62" i="37" s="1"/>
  <c r="F61" i="37"/>
  <c r="B63" i="37" l="1"/>
  <c r="C63" i="37" s="1"/>
  <c r="F62" i="37"/>
  <c r="B64" i="36"/>
  <c r="C64" i="36" s="1"/>
  <c r="F63" i="36"/>
  <c r="G61" i="37"/>
  <c r="D62" i="37" l="1"/>
  <c r="F64" i="36"/>
  <c r="B65" i="36"/>
  <c r="C65" i="36" s="1"/>
  <c r="B64" i="37"/>
  <c r="C64" i="37" s="1"/>
  <c r="F63" i="37"/>
  <c r="B65" i="37" l="1"/>
  <c r="C65" i="37" s="1"/>
  <c r="F64" i="37"/>
  <c r="F65" i="36"/>
  <c r="B66" i="36"/>
  <c r="C66" i="36" s="1"/>
  <c r="G62" i="37"/>
  <c r="D63" i="37" l="1"/>
  <c r="B66" i="37"/>
  <c r="C66" i="37" s="1"/>
  <c r="F65" i="37"/>
  <c r="B67" i="36"/>
  <c r="C67" i="36" s="1"/>
  <c r="F66" i="36"/>
  <c r="B67" i="37" l="1"/>
  <c r="C67" i="37" s="1"/>
  <c r="F66" i="37"/>
  <c r="B68" i="36"/>
  <c r="C68" i="36" s="1"/>
  <c r="F67" i="36"/>
  <c r="G63" i="37"/>
  <c r="D64" i="37" l="1"/>
  <c r="G64" i="37" s="1"/>
  <c r="B68" i="37"/>
  <c r="C68" i="37" s="1"/>
  <c r="F67" i="37"/>
  <c r="B69" i="36"/>
  <c r="C69" i="36" s="1"/>
  <c r="F68" i="36"/>
  <c r="B69" i="37" l="1"/>
  <c r="C69" i="37" s="1"/>
  <c r="F68" i="37"/>
  <c r="B70" i="36"/>
  <c r="F69" i="36"/>
  <c r="D65" i="37"/>
  <c r="C66" i="40"/>
  <c r="B70" i="37" l="1"/>
  <c r="F69" i="37"/>
  <c r="B71" i="36"/>
  <c r="F70" i="36"/>
  <c r="G65" i="37"/>
  <c r="B71" i="37" l="1"/>
  <c r="F70" i="37"/>
  <c r="D66" i="37"/>
  <c r="G66" i="37" s="1"/>
  <c r="C72" i="40"/>
  <c r="F46" i="38"/>
  <c r="C46" i="38"/>
  <c r="D67" i="37" l="1"/>
  <c r="C76" i="36"/>
  <c r="D76" i="36" s="1"/>
  <c r="G67" i="37"/>
  <c r="F5" i="11"/>
  <c r="F5" i="9"/>
  <c r="G5" i="9" s="1"/>
  <c r="F5" i="4"/>
  <c r="G5" i="4" s="1"/>
  <c r="D11" i="11"/>
  <c r="B11" i="11"/>
  <c r="C11" i="11" s="1"/>
  <c r="D11" i="9"/>
  <c r="B11" i="9"/>
  <c r="C11" i="9" s="1"/>
  <c r="D11" i="4"/>
  <c r="B11" i="4"/>
  <c r="G18" i="13"/>
  <c r="H18" i="13"/>
  <c r="L18" i="13"/>
  <c r="G17" i="13"/>
  <c r="H17" i="13" s="1"/>
  <c r="C11" i="4" l="1"/>
  <c r="B12" i="4" s="1"/>
  <c r="C76" i="37"/>
  <c r="D76" i="37" s="1"/>
  <c r="D68" i="37"/>
  <c r="B12" i="11"/>
  <c r="C12" i="11" s="1"/>
  <c r="B12" i="9"/>
  <c r="C12" i="9" s="1"/>
  <c r="L17" i="13"/>
  <c r="C12" i="4" l="1"/>
  <c r="F12" i="4" s="1"/>
  <c r="F11" i="4"/>
  <c r="G68" i="37"/>
  <c r="B13" i="9"/>
  <c r="B13" i="11"/>
  <c r="F11" i="11"/>
  <c r="F11" i="9"/>
  <c r="B13" i="4" l="1"/>
  <c r="B14" i="4" s="1"/>
  <c r="C13" i="9"/>
  <c r="B14" i="9" s="1"/>
  <c r="B15" i="9" s="1"/>
  <c r="D69" i="37"/>
  <c r="C13" i="11"/>
  <c r="B14" i="11" s="1"/>
  <c r="B15" i="11" s="1"/>
  <c r="B15" i="4" l="1"/>
  <c r="C15" i="4" s="1"/>
  <c r="B16" i="4" s="1"/>
  <c r="B16" i="9"/>
  <c r="G69" i="37"/>
  <c r="B16" i="11"/>
  <c r="F15" i="11"/>
  <c r="C16" i="4" l="1"/>
  <c r="B17" i="4" s="1"/>
  <c r="C17" i="4" s="1"/>
  <c r="B18" i="4" s="1"/>
  <c r="C18" i="4" s="1"/>
  <c r="B17" i="9"/>
  <c r="C17" i="9" s="1"/>
  <c r="E76" i="37"/>
  <c r="C79" i="37" s="1"/>
  <c r="D70" i="37"/>
  <c r="F16" i="11"/>
  <c r="B18" i="9" l="1"/>
  <c r="B19" i="4"/>
  <c r="C19" i="4" s="1"/>
  <c r="G70" i="37"/>
  <c r="E70" i="37" s="1"/>
  <c r="B17" i="11"/>
  <c r="C17" i="11" s="1"/>
  <c r="F12" i="11"/>
  <c r="F13" i="11"/>
  <c r="F14" i="11"/>
  <c r="C18" i="9" l="1"/>
  <c r="B19" i="9" s="1"/>
  <c r="C19" i="9" s="1"/>
  <c r="B20" i="9" s="1"/>
  <c r="C20" i="9" s="1"/>
  <c r="F17" i="11"/>
  <c r="B20" i="4"/>
  <c r="C20" i="4" s="1"/>
  <c r="D71" i="37"/>
  <c r="G11" i="11"/>
  <c r="B21" i="9" l="1"/>
  <c r="B18" i="11"/>
  <c r="B21" i="4"/>
  <c r="C21" i="4" s="1"/>
  <c r="G71" i="37"/>
  <c r="D12" i="11"/>
  <c r="G16" i="13"/>
  <c r="H16" i="13" s="1"/>
  <c r="C18" i="11" l="1"/>
  <c r="F18" i="11" s="1"/>
  <c r="C21" i="9"/>
  <c r="B22" i="9" s="1"/>
  <c r="C22" i="9" s="1"/>
  <c r="B23" i="9" s="1"/>
  <c r="C23" i="9" s="1"/>
  <c r="B22" i="4"/>
  <c r="C22" i="4" s="1"/>
  <c r="G12" i="11"/>
  <c r="L16" i="13"/>
  <c r="L15" i="13"/>
  <c r="G15" i="13"/>
  <c r="H15" i="13" s="1"/>
  <c r="B19" i="11" l="1"/>
  <c r="B24" i="9"/>
  <c r="B23" i="4"/>
  <c r="C23" i="4" s="1"/>
  <c r="D13" i="11"/>
  <c r="G13" i="11" s="1"/>
  <c r="G14" i="13"/>
  <c r="L14" i="13" s="1"/>
  <c r="C19" i="11" l="1"/>
  <c r="F19" i="11" s="1"/>
  <c r="C24" i="9"/>
  <c r="B25" i="9" s="1"/>
  <c r="C25" i="9" s="1"/>
  <c r="B26" i="9" s="1"/>
  <c r="C26" i="9" s="1"/>
  <c r="C77" i="37"/>
  <c r="B24" i="4"/>
  <c r="C24" i="4" s="1"/>
  <c r="D14" i="11"/>
  <c r="H14" i="13"/>
  <c r="B20" i="11" l="1"/>
  <c r="C20" i="11" s="1"/>
  <c r="B27" i="9"/>
  <c r="B25" i="4"/>
  <c r="C25" i="4" s="1"/>
  <c r="F20" i="11" l="1"/>
  <c r="B21" i="11"/>
  <c r="C21" i="11" s="1"/>
  <c r="B28" i="9"/>
  <c r="C28" i="9" s="1"/>
  <c r="B29" i="9" s="1"/>
  <c r="B26" i="4"/>
  <c r="C26" i="4" s="1"/>
  <c r="B22" i="11" l="1"/>
  <c r="C22" i="11" s="1"/>
  <c r="F21" i="11"/>
  <c r="C29" i="9"/>
  <c r="B30" i="9" s="1"/>
  <c r="C30" i="9" s="1"/>
  <c r="B31" i="9" s="1"/>
  <c r="B27" i="4"/>
  <c r="B28" i="4" l="1"/>
  <c r="C28" i="4" s="1"/>
  <c r="B29" i="4" s="1"/>
  <c r="C29" i="4" s="1"/>
  <c r="B23" i="11"/>
  <c r="C23" i="11" s="1"/>
  <c r="F22" i="11"/>
  <c r="C31" i="9"/>
  <c r="B32" i="9" s="1"/>
  <c r="F81" i="37"/>
  <c r="F85" i="37" s="1"/>
  <c r="C78" i="37"/>
  <c r="C85" i="37" s="1"/>
  <c r="F30" i="9"/>
  <c r="F31" i="9"/>
  <c r="F29" i="9"/>
  <c r="F28" i="9"/>
  <c r="B24" i="11" l="1"/>
  <c r="C24" i="11" s="1"/>
  <c r="F23" i="11"/>
  <c r="C32" i="9"/>
  <c r="F32" i="9" s="1"/>
  <c r="F28" i="4"/>
  <c r="F29" i="4"/>
  <c r="E76" i="36"/>
  <c r="C79" i="36" s="1"/>
  <c r="F24" i="11" l="1"/>
  <c r="B25" i="11"/>
  <c r="C25" i="11" s="1"/>
  <c r="B33" i="9"/>
  <c r="C33" i="9" s="1"/>
  <c r="B30" i="4"/>
  <c r="C30" i="4" s="1"/>
  <c r="F25" i="11" l="1"/>
  <c r="B26" i="11"/>
  <c r="C26" i="11" s="1"/>
  <c r="B34" i="9"/>
  <c r="C34" i="9" s="1"/>
  <c r="F33" i="9"/>
  <c r="F30" i="4"/>
  <c r="B27" i="11" l="1"/>
  <c r="F26" i="11"/>
  <c r="B35" i="9"/>
  <c r="C35" i="9" s="1"/>
  <c r="F34" i="9"/>
  <c r="B31" i="4"/>
  <c r="C31" i="4" s="1"/>
  <c r="D18" i="28"/>
  <c r="C85" i="36"/>
  <c r="D17" i="5"/>
  <c r="G13" i="13"/>
  <c r="F27" i="11" l="1"/>
  <c r="B28" i="11"/>
  <c r="F35" i="9"/>
  <c r="B36" i="9"/>
  <c r="C36" i="9" s="1"/>
  <c r="F36" i="9" s="1"/>
  <c r="F31" i="4"/>
  <c r="E18" i="28"/>
  <c r="C21" i="28" s="1"/>
  <c r="H13" i="13"/>
  <c r="L13" i="13"/>
  <c r="C33" i="11" l="1"/>
  <c r="D33" i="11" s="1"/>
  <c r="B37" i="9"/>
  <c r="C37" i="9" s="1"/>
  <c r="F37" i="9" s="1"/>
  <c r="B32" i="4"/>
  <c r="C32" i="4" s="1"/>
  <c r="C27" i="28"/>
  <c r="B38" i="9" l="1"/>
  <c r="C38" i="9" s="1"/>
  <c r="F32" i="4"/>
  <c r="F23" i="28"/>
  <c r="C20" i="28"/>
  <c r="F27" i="9"/>
  <c r="F17" i="9"/>
  <c r="F18" i="9"/>
  <c r="F19" i="9"/>
  <c r="F20" i="9"/>
  <c r="F21" i="9"/>
  <c r="F22" i="9"/>
  <c r="F23" i="9"/>
  <c r="F24" i="9"/>
  <c r="F25" i="9"/>
  <c r="F26" i="9"/>
  <c r="F16" i="9"/>
  <c r="F15" i="9"/>
  <c r="F27" i="4"/>
  <c r="F17" i="4"/>
  <c r="F18" i="4"/>
  <c r="F19" i="4"/>
  <c r="F20" i="4"/>
  <c r="F21" i="4"/>
  <c r="F22" i="4"/>
  <c r="F23" i="4"/>
  <c r="F24" i="4"/>
  <c r="F25" i="4"/>
  <c r="F26" i="4"/>
  <c r="F16" i="4"/>
  <c r="F15" i="4"/>
  <c r="G12" i="13"/>
  <c r="H12" i="13" s="1"/>
  <c r="F38" i="9" l="1"/>
  <c r="B33" i="4"/>
  <c r="C33" i="4" s="1"/>
  <c r="F27" i="28"/>
  <c r="B39" i="9" l="1"/>
  <c r="F33" i="4"/>
  <c r="C40" i="11"/>
  <c r="C78" i="9"/>
  <c r="C83" i="9" s="1"/>
  <c r="C79" i="4"/>
  <c r="C39" i="9" l="1"/>
  <c r="F39" i="9" s="1"/>
  <c r="B34" i="4"/>
  <c r="C34" i="4" s="1"/>
  <c r="D5" i="11"/>
  <c r="D5" i="4"/>
  <c r="G11" i="13"/>
  <c r="H11" i="13" s="1"/>
  <c r="B40" i="9" l="1"/>
  <c r="F40" i="9" s="1"/>
  <c r="F34" i="4"/>
  <c r="E33" i="11"/>
  <c r="F14" i="4"/>
  <c r="G10" i="13"/>
  <c r="H10" i="13" s="1"/>
  <c r="G9" i="13"/>
  <c r="H9" i="13" s="1"/>
  <c r="G8" i="13"/>
  <c r="H8" i="13" s="1"/>
  <c r="G7" i="13"/>
  <c r="H7" i="13" s="1"/>
  <c r="G6" i="13"/>
  <c r="H6" i="13" s="1"/>
  <c r="B35" i="4" l="1"/>
  <c r="C35" i="4" s="1"/>
  <c r="B41" i="9"/>
  <c r="C41" i="9" s="1"/>
  <c r="F35" i="4" l="1"/>
  <c r="F41" i="9"/>
  <c r="E17" i="5"/>
  <c r="C20" i="5" s="1"/>
  <c r="G11" i="9"/>
  <c r="F12" i="9"/>
  <c r="F13" i="9"/>
  <c r="F14" i="9"/>
  <c r="F13" i="4"/>
  <c r="B36" i="4" l="1"/>
  <c r="C36" i="4" s="1"/>
  <c r="D12" i="9"/>
  <c r="B42" i="9"/>
  <c r="C42" i="9" s="1"/>
  <c r="G11" i="4"/>
  <c r="C36" i="11"/>
  <c r="D12" i="4" l="1"/>
  <c r="G12" i="4" s="1"/>
  <c r="F36" i="4"/>
  <c r="F42" i="9"/>
  <c r="C45" i="11"/>
  <c r="D13" i="4" l="1"/>
  <c r="G13" i="4" s="1"/>
  <c r="B37" i="4"/>
  <c r="C37" i="4" s="1"/>
  <c r="B43" i="9"/>
  <c r="C43" i="9" s="1"/>
  <c r="B38" i="4" l="1"/>
  <c r="C38" i="4" s="1"/>
  <c r="F37" i="4"/>
  <c r="F43" i="9"/>
  <c r="F38" i="4" l="1"/>
  <c r="B44" i="9"/>
  <c r="C44" i="9" s="1"/>
  <c r="B39" i="4" l="1"/>
  <c r="C39" i="4" s="1"/>
  <c r="F44" i="9"/>
  <c r="F39" i="4" l="1"/>
  <c r="B45" i="9"/>
  <c r="C45" i="9" s="1"/>
  <c r="B40" i="4" l="1"/>
  <c r="B46" i="9"/>
  <c r="C46" i="9" s="1"/>
  <c r="F45" i="9"/>
  <c r="F40" i="4" l="1"/>
  <c r="F46" i="9"/>
  <c r="B41" i="4" l="1"/>
  <c r="C41" i="4" s="1"/>
  <c r="B47" i="9"/>
  <c r="C47" i="9" s="1"/>
  <c r="C84" i="4"/>
  <c r="F41" i="4" l="1"/>
  <c r="F47" i="9"/>
  <c r="B42" i="4" l="1"/>
  <c r="C42" i="4" s="1"/>
  <c r="B48" i="9"/>
  <c r="C48" i="9" s="1"/>
  <c r="D14" i="4" l="1"/>
  <c r="G14" i="4" s="1"/>
  <c r="E14" i="4" s="1"/>
  <c r="F42" i="4"/>
  <c r="F48" i="9"/>
  <c r="B43" i="4" l="1"/>
  <c r="C43" i="4" s="1"/>
  <c r="B49" i="9"/>
  <c r="C49" i="9" s="1"/>
  <c r="D15" i="4" l="1"/>
  <c r="G15" i="4" s="1"/>
  <c r="F43" i="4"/>
  <c r="F49" i="9"/>
  <c r="D16" i="4" l="1"/>
  <c r="B44" i="4"/>
  <c r="C44" i="4" s="1"/>
  <c r="B50" i="9"/>
  <c r="C50" i="9" s="1"/>
  <c r="G16" i="4" l="1"/>
  <c r="D17" i="4"/>
  <c r="G17" i="4" s="1"/>
  <c r="F44" i="4"/>
  <c r="F50" i="9"/>
  <c r="D18" i="4" l="1"/>
  <c r="G18" i="4" s="1"/>
  <c r="B45" i="4"/>
  <c r="C45" i="4" s="1"/>
  <c r="B51" i="9"/>
  <c r="C51" i="9" s="1"/>
  <c r="D19" i="4" l="1"/>
  <c r="G19" i="4" s="1"/>
  <c r="F45" i="4"/>
  <c r="F51" i="9"/>
  <c r="D20" i="4" l="1"/>
  <c r="G20" i="4" s="1"/>
  <c r="B46" i="4"/>
  <c r="C46" i="4" s="1"/>
  <c r="B52" i="9"/>
  <c r="C52" i="9" s="1"/>
  <c r="D21" i="4" l="1"/>
  <c r="G21" i="4" s="1"/>
  <c r="F46" i="4"/>
  <c r="F52" i="9"/>
  <c r="D22" i="4" l="1"/>
  <c r="G22" i="4" s="1"/>
  <c r="B47" i="4"/>
  <c r="C47" i="4" s="1"/>
  <c r="B53" i="9"/>
  <c r="D23" i="4" l="1"/>
  <c r="G23" i="4" s="1"/>
  <c r="F47" i="4"/>
  <c r="F53" i="9"/>
  <c r="D24" i="4" l="1"/>
  <c r="G24" i="4" s="1"/>
  <c r="B48" i="4"/>
  <c r="C48" i="4" s="1"/>
  <c r="B54" i="9"/>
  <c r="C54" i="9" s="1"/>
  <c r="F48" i="4" l="1"/>
  <c r="B55" i="9"/>
  <c r="C55" i="9" s="1"/>
  <c r="F54" i="9"/>
  <c r="D25" i="4"/>
  <c r="G25" i="4" s="1"/>
  <c r="B49" i="4" l="1"/>
  <c r="C49" i="4" s="1"/>
  <c r="F55" i="9"/>
  <c r="F49" i="4" l="1"/>
  <c r="B56" i="9"/>
  <c r="C56" i="9" s="1"/>
  <c r="D26" i="4" l="1"/>
  <c r="G26" i="4" s="1"/>
  <c r="B50" i="4"/>
  <c r="C50" i="4" s="1"/>
  <c r="F56" i="9"/>
  <c r="D27" i="4" l="1"/>
  <c r="G27" i="4" s="1"/>
  <c r="E27" i="4" s="1"/>
  <c r="B51" i="4"/>
  <c r="C51" i="4" s="1"/>
  <c r="F50" i="4"/>
  <c r="B57" i="9"/>
  <c r="C57" i="9" s="1"/>
  <c r="D28" i="4" l="1"/>
  <c r="G28" i="4" s="1"/>
  <c r="F51" i="4"/>
  <c r="F57" i="9"/>
  <c r="D29" i="4" l="1"/>
  <c r="G29" i="4" s="1"/>
  <c r="B52" i="4"/>
  <c r="C52" i="4" s="1"/>
  <c r="B58" i="9"/>
  <c r="C58" i="9" s="1"/>
  <c r="D30" i="4" l="1"/>
  <c r="G30" i="4" s="1"/>
  <c r="F52" i="4"/>
  <c r="B59" i="9"/>
  <c r="C59" i="9" s="1"/>
  <c r="F58" i="9"/>
  <c r="D31" i="4" l="1"/>
  <c r="G31" i="4" s="1"/>
  <c r="B53" i="4"/>
  <c r="F59" i="9"/>
  <c r="B54" i="4" l="1"/>
  <c r="C54" i="4" s="1"/>
  <c r="F53" i="4"/>
  <c r="B60" i="9"/>
  <c r="C60" i="9" s="1"/>
  <c r="D32" i="4" l="1"/>
  <c r="G32" i="4" s="1"/>
  <c r="B55" i="4"/>
  <c r="C55" i="4" s="1"/>
  <c r="F54" i="4"/>
  <c r="F60" i="9"/>
  <c r="D33" i="4" l="1"/>
  <c r="G33" i="4" s="1"/>
  <c r="B56" i="4"/>
  <c r="C56" i="4" s="1"/>
  <c r="F55" i="4"/>
  <c r="B61" i="9"/>
  <c r="C61" i="9" s="1"/>
  <c r="D34" i="4" l="1"/>
  <c r="G34" i="4" s="1"/>
  <c r="B57" i="4"/>
  <c r="C57" i="4" s="1"/>
  <c r="F56" i="4"/>
  <c r="F61" i="9"/>
  <c r="D35" i="4" l="1"/>
  <c r="G35" i="4" s="1"/>
  <c r="B58" i="4"/>
  <c r="C58" i="4" s="1"/>
  <c r="F57" i="4"/>
  <c r="B62" i="9"/>
  <c r="C62" i="9" s="1"/>
  <c r="D36" i="4" l="1"/>
  <c r="G36" i="4" s="1"/>
  <c r="B59" i="4"/>
  <c r="C59" i="4" s="1"/>
  <c r="F58" i="4"/>
  <c r="F62" i="9"/>
  <c r="D37" i="4" l="1"/>
  <c r="G37" i="4" s="1"/>
  <c r="B60" i="4"/>
  <c r="C60" i="4" s="1"/>
  <c r="F59" i="4"/>
  <c r="B63" i="9"/>
  <c r="C63" i="9" s="1"/>
  <c r="D38" i="4" l="1"/>
  <c r="G38" i="4" s="1"/>
  <c r="B61" i="4"/>
  <c r="C61" i="4" s="1"/>
  <c r="F60" i="4"/>
  <c r="F63" i="9"/>
  <c r="D39" i="4" l="1"/>
  <c r="G39" i="4" s="1"/>
  <c r="B62" i="4"/>
  <c r="C62" i="4" s="1"/>
  <c r="F61" i="4"/>
  <c r="B64" i="9"/>
  <c r="C64" i="9" s="1"/>
  <c r="D40" i="4" l="1"/>
  <c r="G40" i="4" s="1"/>
  <c r="E40" i="4" s="1"/>
  <c r="B63" i="4"/>
  <c r="C63" i="4" s="1"/>
  <c r="F62" i="4"/>
  <c r="F64" i="9"/>
  <c r="F63" i="4" l="1"/>
  <c r="B64" i="4"/>
  <c r="C64" i="4" s="1"/>
  <c r="B65" i="9"/>
  <c r="C65" i="9" s="1"/>
  <c r="D41" i="4"/>
  <c r="G41" i="4" s="1"/>
  <c r="B65" i="4" l="1"/>
  <c r="C65" i="4" s="1"/>
  <c r="F64" i="4"/>
  <c r="B66" i="9"/>
  <c r="F65" i="9"/>
  <c r="D42" i="4"/>
  <c r="G42" i="4" s="1"/>
  <c r="F65" i="4" l="1"/>
  <c r="B66" i="4"/>
  <c r="B67" i="9"/>
  <c r="F66" i="9"/>
  <c r="D43" i="4"/>
  <c r="G43" i="4" s="1"/>
  <c r="B67" i="4" l="1"/>
  <c r="F66" i="4"/>
  <c r="D44" i="4"/>
  <c r="G44" i="4" s="1"/>
  <c r="D45" i="4" l="1"/>
  <c r="G45" i="4" s="1"/>
  <c r="C71" i="9" l="1"/>
  <c r="D71" i="9" s="1"/>
  <c r="C72" i="4"/>
  <c r="D72" i="4" s="1"/>
  <c r="D46" i="4" l="1"/>
  <c r="G46" i="4" s="1"/>
  <c r="D47" i="4" l="1"/>
  <c r="G47" i="4" s="1"/>
  <c r="D48" i="4" l="1"/>
  <c r="G48" i="4" s="1"/>
  <c r="D49" i="4" l="1"/>
  <c r="G49" i="4" s="1"/>
  <c r="D50" i="4" l="1"/>
  <c r="G50" i="4" s="1"/>
  <c r="D51" i="4" l="1"/>
  <c r="G51" i="4" s="1"/>
  <c r="D52" i="4" l="1"/>
  <c r="G52" i="4" s="1"/>
  <c r="E72" i="4" l="1"/>
  <c r="C75" i="4" s="1"/>
  <c r="E71" i="9"/>
  <c r="C74" i="9" s="1"/>
  <c r="G14" i="11"/>
  <c r="E14" i="11" s="1"/>
  <c r="D15" i="11" l="1"/>
  <c r="G15" i="11" s="1"/>
  <c r="D16" i="11" l="1"/>
  <c r="G16" i="11" s="1"/>
  <c r="D17" i="11" l="1"/>
  <c r="G17" i="11" s="1"/>
  <c r="D53" i="4"/>
  <c r="G53" i="4" s="1"/>
  <c r="E53" i="4" s="1"/>
  <c r="D18" i="11" l="1"/>
  <c r="D54" i="4"/>
  <c r="G54" i="4" s="1"/>
  <c r="D55" i="4" l="1"/>
  <c r="G55" i="4" s="1"/>
  <c r="D56" i="4" l="1"/>
  <c r="G56" i="4" s="1"/>
  <c r="D57" i="4" l="1"/>
  <c r="G57" i="4" s="1"/>
  <c r="D58" i="4" l="1"/>
  <c r="G58" i="4" s="1"/>
  <c r="D59" i="4" l="1"/>
  <c r="G59" i="4" s="1"/>
  <c r="D60" i="4" l="1"/>
  <c r="G60" i="4" s="1"/>
  <c r="D61" i="4" s="1"/>
  <c r="G61" i="4" s="1"/>
  <c r="D62" i="4" l="1"/>
  <c r="G62" i="4" s="1"/>
  <c r="D63" i="4" l="1"/>
  <c r="G63" i="4" s="1"/>
  <c r="D64" i="4" l="1"/>
  <c r="G64" i="4" s="1"/>
  <c r="D65" i="4" l="1"/>
  <c r="G65" i="4" s="1"/>
  <c r="C19" i="5" l="1"/>
  <c r="F26" i="5"/>
  <c r="C26" i="5" l="1"/>
  <c r="D66" i="4" l="1"/>
  <c r="G66" i="4" s="1"/>
  <c r="E66" i="4" s="1"/>
  <c r="D67" i="4" l="1"/>
  <c r="G67" i="4" s="1"/>
  <c r="C73" i="4" l="1"/>
  <c r="G12" i="9" l="1"/>
  <c r="D13" i="9" l="1"/>
  <c r="G13" i="9" l="1"/>
  <c r="D14" i="9" l="1"/>
  <c r="G14" i="9" s="1"/>
  <c r="E14" i="9" s="1"/>
  <c r="D15" i="9" l="1"/>
  <c r="G15" i="9" s="1"/>
  <c r="D16" i="9" l="1"/>
  <c r="G16" i="9" s="1"/>
  <c r="D17" i="9" l="1"/>
  <c r="G17" i="9" l="1"/>
  <c r="D18" i="9" l="1"/>
  <c r="G18" i="9" s="1"/>
  <c r="D19" i="9" l="1"/>
  <c r="G19" i="9" s="1"/>
  <c r="D20" i="9" s="1"/>
  <c r="G20" i="9" l="1"/>
  <c r="D21" i="9" l="1"/>
  <c r="G21" i="9" s="1"/>
  <c r="D22" i="9" s="1"/>
  <c r="G22" i="9" s="1"/>
  <c r="D23" i="9" s="1"/>
  <c r="G23" i="9" s="1"/>
  <c r="D24" i="9" s="1"/>
  <c r="G24" i="9" s="1"/>
  <c r="D25" i="9" l="1"/>
  <c r="G25" i="9" s="1"/>
  <c r="D26" i="9" l="1"/>
  <c r="G26" i="9" s="1"/>
  <c r="D27" i="9" l="1"/>
  <c r="G27" i="9" s="1"/>
  <c r="E27" i="9" s="1"/>
  <c r="D28" i="9" l="1"/>
  <c r="G28" i="9" s="1"/>
  <c r="D29" i="9" l="1"/>
  <c r="G29" i="9" s="1"/>
  <c r="D30" i="9" l="1"/>
  <c r="G30" i="9" s="1"/>
  <c r="D31" i="9" l="1"/>
  <c r="G31" i="9" s="1"/>
  <c r="D32" i="9" l="1"/>
  <c r="G32" i="9" s="1"/>
  <c r="D33" i="9" l="1"/>
  <c r="G33" i="9" s="1"/>
  <c r="D34" i="9" l="1"/>
  <c r="G34" i="9" s="1"/>
  <c r="D35" i="9" l="1"/>
  <c r="G35" i="9" s="1"/>
  <c r="D36" i="9" l="1"/>
  <c r="G36" i="9" s="1"/>
  <c r="D37" i="9" l="1"/>
  <c r="G37" i="9" s="1"/>
  <c r="D38" i="9" l="1"/>
  <c r="G38" i="9" s="1"/>
  <c r="D39" i="9" l="1"/>
  <c r="G39" i="9" l="1"/>
  <c r="D40" i="9" l="1"/>
  <c r="G40" i="9" l="1"/>
  <c r="E40" i="9" s="1"/>
  <c r="D41" i="9" l="1"/>
  <c r="G41" i="9" s="1"/>
  <c r="D42" i="9" l="1"/>
  <c r="G42" i="9" s="1"/>
  <c r="D43" i="9" l="1"/>
  <c r="G43" i="9" s="1"/>
  <c r="D44" i="9" l="1"/>
  <c r="G44" i="9" s="1"/>
  <c r="D45" i="9" l="1"/>
  <c r="G45" i="9" s="1"/>
  <c r="D46" i="9" s="1"/>
  <c r="G46" i="9" s="1"/>
  <c r="D47" i="9" s="1"/>
  <c r="G47" i="9" s="1"/>
  <c r="D48" i="9" l="1"/>
  <c r="G48" i="9" s="1"/>
  <c r="D49" i="9" l="1"/>
  <c r="G49" i="9" s="1"/>
  <c r="D50" i="9" s="1"/>
  <c r="G50" i="9" l="1"/>
  <c r="G18" i="11"/>
  <c r="D19" i="11" l="1"/>
  <c r="G19" i="11" s="1"/>
  <c r="D51" i="9"/>
  <c r="G51" i="9" s="1"/>
  <c r="D20" i="11" l="1"/>
  <c r="G20" i="11" s="1"/>
  <c r="D52" i="9"/>
  <c r="G52" i="9" s="1"/>
  <c r="D21" i="11" l="1"/>
  <c r="G21" i="11" s="1"/>
  <c r="D53" i="9"/>
  <c r="D22" i="11" l="1"/>
  <c r="G22" i="11" s="1"/>
  <c r="G53" i="9"/>
  <c r="E53" i="9" s="1"/>
  <c r="D23" i="11" l="1"/>
  <c r="G23" i="11" s="1"/>
  <c r="D54" i="9"/>
  <c r="G54" i="9" s="1"/>
  <c r="D24" i="11" l="1"/>
  <c r="G24" i="11" s="1"/>
  <c r="D55" i="9" l="1"/>
  <c r="G55" i="9" s="1"/>
  <c r="D25" i="11"/>
  <c r="G25" i="11" s="1"/>
  <c r="D56" i="9" l="1"/>
  <c r="G56" i="9" s="1"/>
  <c r="D26" i="11"/>
  <c r="G26" i="11" s="1"/>
  <c r="D57" i="9" l="1"/>
  <c r="G57" i="9" s="1"/>
  <c r="D27" i="11"/>
  <c r="D58" i="9" l="1"/>
  <c r="G58" i="9" s="1"/>
  <c r="G27" i="11"/>
  <c r="E27" i="11" s="1"/>
  <c r="D59" i="9" l="1"/>
  <c r="G59" i="9" s="1"/>
  <c r="D60" i="9" s="1"/>
  <c r="G60" i="9" s="1"/>
  <c r="D61" i="9" s="1"/>
  <c r="D28" i="11"/>
  <c r="G28" i="11" s="1"/>
  <c r="G61" i="9" l="1"/>
  <c r="D62" i="9" s="1"/>
  <c r="G62" i="9" l="1"/>
  <c r="D63" i="9" s="1"/>
  <c r="C34" i="11" l="1"/>
  <c r="G63" i="9"/>
  <c r="G33" i="36"/>
  <c r="D64" i="9" l="1"/>
  <c r="D34" i="36" l="1"/>
  <c r="G34" i="36" s="1"/>
  <c r="G64" i="9"/>
  <c r="D35" i="36" l="1"/>
  <c r="G35" i="36" s="1"/>
  <c r="D65" i="9"/>
  <c r="G65" i="9" s="1"/>
  <c r="D36" i="36" l="1"/>
  <c r="G36" i="36" s="1"/>
  <c r="D37" i="36" s="1"/>
  <c r="G37" i="36" s="1"/>
  <c r="D66" i="9"/>
  <c r="G66" i="9" s="1"/>
  <c r="E66" i="9" s="1"/>
  <c r="D38" i="36" l="1"/>
  <c r="G38" i="36" s="1"/>
  <c r="D67" i="9"/>
  <c r="G67" i="9" s="1"/>
  <c r="D39" i="36" l="1"/>
  <c r="G39" i="36" s="1"/>
  <c r="C35" i="11"/>
  <c r="D40" i="36" l="1"/>
  <c r="G40" i="36" s="1"/>
  <c r="F40" i="11"/>
  <c r="C72" i="9" l="1"/>
  <c r="D41" i="36"/>
  <c r="G41" i="36" s="1"/>
  <c r="F46" i="11"/>
  <c r="D42" i="36" l="1"/>
  <c r="G42" i="36" l="1"/>
  <c r="D43" i="36" l="1"/>
  <c r="G43" i="36" s="1"/>
  <c r="D44" i="36" s="1"/>
  <c r="G44" i="36" l="1"/>
  <c r="E44" i="36" l="1"/>
  <c r="D45" i="36" s="1"/>
  <c r="G45" i="36" s="1"/>
  <c r="D46" i="36" l="1"/>
  <c r="G46" i="36" s="1"/>
  <c r="F78" i="9"/>
  <c r="D47" i="36" l="1"/>
  <c r="G47" i="36" s="1"/>
  <c r="D48" i="36" s="1"/>
  <c r="G48" i="36" s="1"/>
  <c r="D49" i="36" l="1"/>
  <c r="G49" i="36" s="1"/>
  <c r="D50" i="36" l="1"/>
  <c r="G50" i="36" s="1"/>
  <c r="D51" i="36" l="1"/>
  <c r="G51" i="36" s="1"/>
  <c r="D52" i="36" l="1"/>
  <c r="G52" i="36" s="1"/>
  <c r="D53" i="36" l="1"/>
  <c r="G53" i="36" s="1"/>
  <c r="D54" i="36" l="1"/>
  <c r="G54" i="36" s="1"/>
  <c r="D55" i="36" l="1"/>
  <c r="G55" i="36" s="1"/>
  <c r="D56" i="36" l="1"/>
  <c r="G56" i="36" s="1"/>
  <c r="D57" i="36" s="1"/>
  <c r="G57" i="36" l="1"/>
  <c r="E57" i="36" l="1"/>
  <c r="D58" i="36" s="1"/>
  <c r="G58" i="36" s="1"/>
  <c r="D59" i="36" l="1"/>
  <c r="G59" i="36" s="1"/>
  <c r="D60" i="36" l="1"/>
  <c r="G60" i="36" s="1"/>
  <c r="D61" i="36" s="1"/>
  <c r="G61" i="36" s="1"/>
  <c r="D62" i="36" l="1"/>
  <c r="G62" i="36" s="1"/>
  <c r="D63" i="36" l="1"/>
  <c r="G63" i="36" s="1"/>
  <c r="D64" i="36" l="1"/>
  <c r="G64" i="36" s="1"/>
  <c r="D65" i="36" l="1"/>
  <c r="G65" i="36" s="1"/>
  <c r="C73" i="9"/>
  <c r="D66" i="36" l="1"/>
  <c r="G66" i="36" s="1"/>
  <c r="F83" i="9"/>
  <c r="D67" i="36" l="1"/>
  <c r="G67" i="36" s="1"/>
  <c r="C65" i="40"/>
  <c r="D68" i="36" l="1"/>
  <c r="F68" i="40"/>
  <c r="G68" i="36" l="1"/>
  <c r="F72" i="40"/>
  <c r="D69" i="36" l="1"/>
  <c r="G69" i="36" l="1"/>
  <c r="D70" i="36" l="1"/>
  <c r="G70" i="36" l="1"/>
  <c r="E70" i="36" s="1"/>
  <c r="D71" i="36" l="1"/>
  <c r="G71" i="36" l="1"/>
  <c r="C77" i="36" l="1"/>
  <c r="F81" i="36" l="1"/>
  <c r="C78" i="36" l="1"/>
  <c r="F85" i="36"/>
  <c r="C74" i="4" l="1"/>
  <c r="F79" i="4"/>
  <c r="F85" i="4" l="1"/>
  <c r="D71" i="43" l="1"/>
  <c r="G71" i="43" l="1"/>
  <c r="D72" i="43" l="1"/>
  <c r="G72" i="43" s="1"/>
  <c r="D73" i="43" l="1"/>
  <c r="G73" i="43" s="1"/>
  <c r="D74" i="43" s="1"/>
  <c r="G74" i="43" s="1"/>
  <c r="D75" i="43" s="1"/>
  <c r="G75" i="43" s="1"/>
  <c r="D76" i="43" s="1"/>
  <c r="G76" i="43" s="1"/>
  <c r="D77" i="43" s="1"/>
  <c r="G77" i="43" s="1"/>
  <c r="D78" i="43" s="1"/>
  <c r="G78" i="43" s="1"/>
  <c r="D79" i="43" s="1"/>
  <c r="G79" i="43" s="1"/>
  <c r="E79" i="43" l="1"/>
  <c r="D80" i="43" s="1"/>
  <c r="G80" i="43" l="1"/>
  <c r="C85" i="43" l="1"/>
  <c r="C86" i="43" s="1"/>
  <c r="F91" i="43"/>
  <c r="F97" i="43" s="1"/>
</calcChain>
</file>

<file path=xl/sharedStrings.xml><?xml version="1.0" encoding="utf-8"?>
<sst xmlns="http://schemas.openxmlformats.org/spreadsheetml/2006/main" count="439" uniqueCount="45">
  <si>
    <t>Alberta Breeder Finance Inc.</t>
  </si>
  <si>
    <t>Advance Date</t>
  </si>
  <si>
    <t>Loan Amount</t>
  </si>
  <si>
    <t>From</t>
  </si>
  <si>
    <t>To</t>
  </si>
  <si>
    <t>Daily Balance</t>
  </si>
  <si>
    <t># of Days</t>
  </si>
  <si>
    <t>Principal Pmt</t>
  </si>
  <si>
    <t>Payments</t>
  </si>
  <si>
    <t>Interest</t>
  </si>
  <si>
    <t>Prime Rate</t>
  </si>
  <si>
    <t>Daily Rate</t>
  </si>
  <si>
    <t xml:space="preserve">Number of days </t>
  </si>
  <si>
    <t>Total Interest Paid</t>
  </si>
  <si>
    <t>Final Payment</t>
  </si>
  <si>
    <t>Stated Rate</t>
  </si>
  <si>
    <t>Total Amount Paid</t>
  </si>
  <si>
    <t>Effective Interest Rate</t>
  </si>
  <si>
    <t>Principal Balance Outstanding</t>
  </si>
  <si>
    <t>Repayment %</t>
  </si>
  <si>
    <t xml:space="preserve">Total Principal </t>
  </si>
  <si>
    <t xml:space="preserve">Total Prinicpal Payments </t>
  </si>
  <si>
    <t>Total Principal Owing</t>
  </si>
  <si>
    <t xml:space="preserve">Total Interest Payable </t>
  </si>
  <si>
    <t xml:space="preserve">Total Interest Paid </t>
  </si>
  <si>
    <t xml:space="preserve">Total Interest Owing </t>
  </si>
  <si>
    <t>Heifer Calf Loan Calculation</t>
  </si>
  <si>
    <t>History of Prime Interest Rate Changes</t>
  </si>
  <si>
    <t>Date of Change</t>
  </si>
  <si>
    <t xml:space="preserve">Prime Rate </t>
  </si>
  <si>
    <t>5 Year Loan Calculation - Pairs &lt;5 years Dec due date</t>
  </si>
  <si>
    <t>5 Year Loan Calculation - Pairs &lt;5 years June due date</t>
  </si>
  <si>
    <t>5 Year Loan Calculation - Bred Heifers and Bred Cows &lt;5 years Dec due date</t>
  </si>
  <si>
    <t>4 Year Loan Calculation - Ewe Lambs and Yearling Ewes Dec due date</t>
  </si>
  <si>
    <t>4 Year Loan Calculation - Ewe Lambs and Yearling Ewes June due date</t>
  </si>
  <si>
    <t>2 year Loan Calculation - Bred Cows and Pairs &gt;5 year June due date</t>
  </si>
  <si>
    <t>2 year Loan Calculation  - Bred Cows and Pairs &gt;5 year Dec due date</t>
  </si>
  <si>
    <t>5 Year Loan Calculation - Bred Heifers and Bred Cows &lt;5 years June Due date</t>
  </si>
  <si>
    <t xml:space="preserve">Leap Year </t>
  </si>
  <si>
    <t>divided by 366 days</t>
  </si>
  <si>
    <t>Leap Year divided by 366 days</t>
  </si>
  <si>
    <t>Enter date and $ in yellow highlighted only</t>
  </si>
  <si>
    <t>Principal Payment</t>
  </si>
  <si>
    <t/>
  </si>
  <si>
    <t>Total Interest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</si>
</sst>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00%"/>
    <numFmt numFmtId="167" formatCode="[$-409]mmmm\ d\,\ yyyy;@"/>
    <numFmt numFmtId="168" formatCode="0.00000%"/>
    <numFmt numFmtId="169" formatCode="[$-1009]mmmm\ d\,\ yyyy;@"/>
    <numFmt numFmtId="170" formatCode="_-* #,##0_-;\-* #,##0_-;_-* &quot;-&quot;??_-;_-@_-"/>
    <numFmt numFmtId="171" formatCode="[$-F800]dddd\,\ mmmm\ dd\,\ yyyy"/>
    <numFmt numFmtId="172" formatCode="0.000000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7030A0"/>
      <name val="Arial"/>
      <family val="2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38">
    <xf numFmtId="0" fontId="0" fillId="0" borderId="0" xfId="0"/>
    <xf numFmtId="164" fontId="0" fillId="0" borderId="0" xfId="2" applyFont="1"/>
    <xf numFmtId="167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4" fontId="2" fillId="0" borderId="2" xfId="3" applyBorder="1"/>
    <xf numFmtId="168" fontId="0" fillId="0" borderId="0" xfId="0" applyNumberFormat="1"/>
    <xf numFmtId="165" fontId="0" fillId="0" borderId="2" xfId="1" applyFont="1" applyBorder="1"/>
    <xf numFmtId="164" fontId="0" fillId="0" borderId="0" xfId="0" applyNumberFormat="1"/>
    <xf numFmtId="164" fontId="4" fillId="0" borderId="2" xfId="3" applyFont="1" applyBorder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"/>
    </xf>
    <xf numFmtId="169" fontId="6" fillId="0" borderId="0" xfId="0" applyNumberFormat="1" applyFont="1" applyAlignment="1">
      <alignment horizontal="center"/>
    </xf>
    <xf numFmtId="166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3" fillId="0" borderId="2" xfId="0" applyNumberFormat="1" applyFont="1" applyBorder="1" applyAlignment="1">
      <alignment horizontal="centerContinuous"/>
    </xf>
    <xf numFmtId="167" fontId="7" fillId="0" borderId="2" xfId="0" applyNumberFormat="1" applyFont="1" applyBorder="1" applyAlignment="1">
      <alignment horizontal="centerContinuous"/>
    </xf>
    <xf numFmtId="164" fontId="8" fillId="0" borderId="2" xfId="3" applyFont="1" applyBorder="1"/>
    <xf numFmtId="0" fontId="10" fillId="0" borderId="0" xfId="0" applyFont="1" applyAlignment="1">
      <alignment horizontal="center"/>
    </xf>
    <xf numFmtId="169" fontId="10" fillId="0" borderId="0" xfId="0" applyNumberFormat="1" applyFont="1" applyAlignment="1">
      <alignment horizontal="center"/>
    </xf>
    <xf numFmtId="164" fontId="9" fillId="2" borderId="0" xfId="2" applyFont="1" applyFill="1"/>
    <xf numFmtId="0" fontId="11" fillId="0" borderId="0" xfId="0" applyFont="1" applyAlignment="1">
      <alignment horizontal="centerContinuous"/>
    </xf>
    <xf numFmtId="0" fontId="9" fillId="0" borderId="0" xfId="0" applyFont="1"/>
    <xf numFmtId="166" fontId="10" fillId="0" borderId="0" xfId="0" applyNumberFormat="1" applyFont="1" applyAlignment="1">
      <alignment horizontal="center"/>
    </xf>
    <xf numFmtId="164" fontId="9" fillId="0" borderId="0" xfId="0" applyNumberFormat="1" applyFont="1"/>
    <xf numFmtId="168" fontId="9" fillId="0" borderId="0" xfId="0" applyNumberFormat="1" applyFont="1"/>
    <xf numFmtId="164" fontId="9" fillId="0" borderId="0" xfId="2" applyFont="1"/>
    <xf numFmtId="0" fontId="10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167" fontId="9" fillId="0" borderId="2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65" fontId="9" fillId="0" borderId="2" xfId="1" applyFont="1" applyBorder="1"/>
    <xf numFmtId="0" fontId="12" fillId="0" borderId="0" xfId="0" applyFont="1"/>
    <xf numFmtId="167" fontId="12" fillId="0" borderId="2" xfId="0" applyNumberFormat="1" applyFont="1" applyBorder="1" applyAlignment="1">
      <alignment horizontal="centerContinuous"/>
    </xf>
    <xf numFmtId="1" fontId="12" fillId="0" borderId="2" xfId="0" applyNumberFormat="1" applyFont="1" applyBorder="1" applyAlignment="1">
      <alignment horizontal="center"/>
    </xf>
    <xf numFmtId="165" fontId="12" fillId="0" borderId="2" xfId="1" applyFont="1" applyBorder="1"/>
    <xf numFmtId="170" fontId="9" fillId="0" borderId="0" xfId="1" applyNumberFormat="1" applyFont="1"/>
    <xf numFmtId="165" fontId="9" fillId="0" borderId="0" xfId="0" applyNumberFormat="1" applyFont="1"/>
    <xf numFmtId="165" fontId="0" fillId="0" borderId="0" xfId="0" applyNumberFormat="1"/>
    <xf numFmtId="167" fontId="9" fillId="0" borderId="2" xfId="0" applyNumberFormat="1" applyFont="1" applyBorder="1" applyAlignment="1">
      <alignment horizontal="right"/>
    </xf>
    <xf numFmtId="167" fontId="9" fillId="0" borderId="2" xfId="0" applyNumberFormat="1" applyFont="1" applyBorder="1"/>
    <xf numFmtId="170" fontId="0" fillId="0" borderId="0" xfId="0" applyNumberFormat="1"/>
    <xf numFmtId="44" fontId="9" fillId="0" borderId="6" xfId="0" applyNumberFormat="1" applyFont="1" applyBorder="1"/>
    <xf numFmtId="0" fontId="9" fillId="0" borderId="10" xfId="0" applyFont="1" applyBorder="1"/>
    <xf numFmtId="44" fontId="9" fillId="0" borderId="11" xfId="0" applyNumberFormat="1" applyFont="1" applyBorder="1"/>
    <xf numFmtId="0" fontId="9" fillId="0" borderId="11" xfId="0" applyFont="1" applyBorder="1"/>
    <xf numFmtId="44" fontId="9" fillId="0" borderId="12" xfId="0" applyNumberFormat="1" applyFont="1" applyBorder="1"/>
    <xf numFmtId="44" fontId="9" fillId="0" borderId="0" xfId="0" applyNumberFormat="1" applyFont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0" fillId="0" borderId="2" xfId="0" applyBorder="1"/>
    <xf numFmtId="164" fontId="0" fillId="2" borderId="0" xfId="2" applyFont="1" applyFill="1"/>
    <xf numFmtId="0" fontId="9" fillId="0" borderId="16" xfId="0" applyFont="1" applyBorder="1"/>
    <xf numFmtId="0" fontId="9" fillId="0" borderId="2" xfId="0" applyFont="1" applyBorder="1"/>
    <xf numFmtId="168" fontId="0" fillId="0" borderId="0" xfId="4" applyNumberFormat="1" applyFont="1"/>
    <xf numFmtId="167" fontId="0" fillId="0" borderId="0" xfId="0" applyNumberFormat="1"/>
    <xf numFmtId="167" fontId="3" fillId="0" borderId="0" xfId="0" applyNumberFormat="1" applyFont="1"/>
    <xf numFmtId="0" fontId="13" fillId="0" borderId="0" xfId="0" applyFont="1"/>
    <xf numFmtId="0" fontId="3" fillId="0" borderId="5" xfId="0" applyFont="1" applyBorder="1"/>
    <xf numFmtId="0" fontId="0" fillId="0" borderId="5" xfId="0" applyBorder="1"/>
    <xf numFmtId="168" fontId="0" fillId="0" borderId="0" xfId="0" applyNumberFormat="1" applyAlignment="1">
      <alignment horizontal="right"/>
    </xf>
    <xf numFmtId="169" fontId="0" fillId="0" borderId="0" xfId="0" applyNumberFormat="1" applyAlignment="1">
      <alignment horizontal="left"/>
    </xf>
    <xf numFmtId="0" fontId="9" fillId="0" borderId="7" xfId="0" applyFont="1" applyBorder="1"/>
    <xf numFmtId="0" fontId="9" fillId="0" borderId="8" xfId="0" applyFont="1" applyBorder="1"/>
    <xf numFmtId="0" fontId="9" fillId="0" borderId="9" xfId="0" applyFont="1" applyBorder="1"/>
    <xf numFmtId="165" fontId="9" fillId="0" borderId="2" xfId="0" applyNumberFormat="1" applyFont="1" applyBorder="1"/>
    <xf numFmtId="168" fontId="9" fillId="0" borderId="0" xfId="4" applyNumberFormat="1" applyFont="1" applyAlignment="1">
      <alignment horizontal="right"/>
    </xf>
    <xf numFmtId="168" fontId="9" fillId="0" borderId="0" xfId="4" applyNumberFormat="1" applyFont="1"/>
    <xf numFmtId="0" fontId="11" fillId="0" borderId="0" xfId="0" applyFont="1" applyAlignment="1">
      <alignment horizontal="left"/>
    </xf>
    <xf numFmtId="9" fontId="9" fillId="0" borderId="0" xfId="4" applyFont="1"/>
    <xf numFmtId="164" fontId="9" fillId="0" borderId="0" xfId="4" applyNumberFormat="1" applyFont="1" applyBorder="1" applyAlignment="1"/>
    <xf numFmtId="167" fontId="0" fillId="2" borderId="0" xfId="0" applyNumberFormat="1" applyFill="1"/>
    <xf numFmtId="167" fontId="0" fillId="0" borderId="0" xfId="0" applyNumberFormat="1" applyAlignment="1">
      <alignment horizontal="left"/>
    </xf>
    <xf numFmtId="171" fontId="0" fillId="0" borderId="0" xfId="0" applyNumberFormat="1" applyAlignment="1">
      <alignment horizontal="left"/>
    </xf>
    <xf numFmtId="164" fontId="0" fillId="0" borderId="0" xfId="2" applyFont="1" applyFill="1"/>
    <xf numFmtId="0" fontId="0" fillId="3" borderId="0" xfId="0" applyFill="1"/>
    <xf numFmtId="164" fontId="0" fillId="3" borderId="0" xfId="2" applyFont="1" applyFill="1"/>
    <xf numFmtId="169" fontId="9" fillId="0" borderId="0" xfId="0" applyNumberFormat="1" applyFont="1"/>
    <xf numFmtId="164" fontId="9" fillId="0" borderId="0" xfId="2" applyFont="1" applyFill="1"/>
    <xf numFmtId="0" fontId="9" fillId="3" borderId="0" xfId="0" applyFont="1" applyFill="1"/>
    <xf numFmtId="164" fontId="9" fillId="3" borderId="0" xfId="2" applyFont="1" applyFill="1"/>
    <xf numFmtId="164" fontId="2" fillId="0" borderId="0" xfId="3" applyBorder="1"/>
    <xf numFmtId="10" fontId="9" fillId="0" borderId="0" xfId="0" applyNumberFormat="1" applyFont="1"/>
    <xf numFmtId="0" fontId="10" fillId="0" borderId="1" xfId="0" applyFont="1" applyBorder="1" applyAlignment="1">
      <alignment horizontal="right"/>
    </xf>
    <xf numFmtId="0" fontId="9" fillId="0" borderId="0" xfId="0" quotePrefix="1" applyFont="1"/>
    <xf numFmtId="164" fontId="9" fillId="0" borderId="6" xfId="0" applyNumberFormat="1" applyFont="1" applyBorder="1"/>
    <xf numFmtId="0" fontId="9" fillId="0" borderId="0" xfId="0" applyFont="1" applyAlignment="1">
      <alignment horizontal="right"/>
    </xf>
    <xf numFmtId="164" fontId="9" fillId="0" borderId="8" xfId="0" applyNumberFormat="1" applyFont="1" applyBorder="1"/>
    <xf numFmtId="165" fontId="9" fillId="0" borderId="9" xfId="0" applyNumberFormat="1" applyFont="1" applyBorder="1"/>
    <xf numFmtId="0" fontId="9" fillId="0" borderId="8" xfId="0" applyFont="1" applyBorder="1" applyAlignment="1">
      <alignment horizontal="right"/>
    </xf>
    <xf numFmtId="44" fontId="9" fillId="0" borderId="9" xfId="0" applyNumberFormat="1" applyFont="1" applyBorder="1"/>
    <xf numFmtId="164" fontId="2" fillId="0" borderId="2" xfId="3" applyFill="1" applyBorder="1"/>
    <xf numFmtId="168" fontId="9" fillId="0" borderId="0" xfId="4" applyNumberFormat="1" applyFont="1" applyFill="1"/>
    <xf numFmtId="164" fontId="8" fillId="0" borderId="2" xfId="3" applyFont="1" applyFill="1" applyBorder="1"/>
    <xf numFmtId="9" fontId="9" fillId="0" borderId="0" xfId="0" applyNumberFormat="1" applyFont="1"/>
    <xf numFmtId="165" fontId="2" fillId="0" borderId="2" xfId="3" applyNumberFormat="1" applyFill="1" applyBorder="1"/>
    <xf numFmtId="10" fontId="0" fillId="0" borderId="0" xfId="4" applyNumberFormat="1" applyFont="1"/>
    <xf numFmtId="10" fontId="9" fillId="0" borderId="0" xfId="4" applyNumberFormat="1" applyFont="1"/>
    <xf numFmtId="164" fontId="2" fillId="0" borderId="0" xfId="3" applyFill="1" applyBorder="1"/>
    <xf numFmtId="164" fontId="2" fillId="0" borderId="14" xfId="3" applyFill="1" applyBorder="1"/>
    <xf numFmtId="164" fontId="9" fillId="0" borderId="3" xfId="0" applyNumberFormat="1" applyFont="1" applyBorder="1"/>
    <xf numFmtId="0" fontId="10" fillId="0" borderId="3" xfId="0" applyFont="1" applyBorder="1"/>
    <xf numFmtId="9" fontId="9" fillId="0" borderId="4" xfId="4" applyFont="1" applyBorder="1" applyAlignment="1"/>
    <xf numFmtId="167" fontId="3" fillId="0" borderId="2" xfId="0" applyNumberFormat="1" applyFont="1" applyBorder="1" applyAlignment="1">
      <alignment horizontal="center"/>
    </xf>
    <xf numFmtId="167" fontId="7" fillId="0" borderId="2" xfId="0" applyNumberFormat="1" applyFont="1" applyBorder="1" applyAlignment="1">
      <alignment horizontal="center"/>
    </xf>
    <xf numFmtId="0" fontId="5" fillId="0" borderId="0" xfId="0" applyFont="1"/>
    <xf numFmtId="9" fontId="5" fillId="0" borderId="0" xfId="4" applyFont="1" applyAlignment="1"/>
    <xf numFmtId="9" fontId="10" fillId="0" borderId="0" xfId="4" applyFont="1" applyAlignment="1">
      <alignment horizontal="center"/>
    </xf>
    <xf numFmtId="9" fontId="10" fillId="0" borderId="4" xfId="4" applyFont="1" applyBorder="1" applyAlignment="1"/>
    <xf numFmtId="9" fontId="9" fillId="0" borderId="0" xfId="4" applyFont="1" applyAlignment="1"/>
    <xf numFmtId="9" fontId="0" fillId="0" borderId="0" xfId="4" applyFont="1"/>
    <xf numFmtId="167" fontId="12" fillId="0" borderId="2" xfId="0" applyNumberFormat="1" applyFont="1" applyBorder="1" applyAlignment="1">
      <alignment horizontal="center"/>
    </xf>
    <xf numFmtId="0" fontId="11" fillId="0" borderId="0" xfId="0" applyFont="1"/>
    <xf numFmtId="0" fontId="10" fillId="0" borderId="2" xfId="0" applyFont="1" applyBorder="1"/>
    <xf numFmtId="9" fontId="9" fillId="0" borderId="2" xfId="0" applyNumberFormat="1" applyFont="1" applyBorder="1"/>
    <xf numFmtId="44" fontId="9" fillId="0" borderId="3" xfId="0" applyNumberFormat="1" applyFont="1" applyBorder="1"/>
    <xf numFmtId="9" fontId="11" fillId="0" borderId="0" xfId="4" applyFont="1" applyAlignment="1"/>
    <xf numFmtId="9" fontId="9" fillId="0" borderId="2" xfId="4" applyFont="1" applyBorder="1" applyAlignment="1"/>
    <xf numFmtId="9" fontId="9" fillId="0" borderId="2" xfId="4" applyFont="1" applyBorder="1"/>
    <xf numFmtId="9" fontId="9" fillId="0" borderId="2" xfId="4" applyFont="1" applyBorder="1" applyAlignment="1">
      <alignment horizontal="center"/>
    </xf>
    <xf numFmtId="164" fontId="9" fillId="0" borderId="2" xfId="0" applyNumberFormat="1" applyFont="1" applyBorder="1"/>
    <xf numFmtId="9" fontId="10" fillId="0" borderId="2" xfId="4" applyFont="1" applyBorder="1" applyAlignment="1"/>
    <xf numFmtId="44" fontId="9" fillId="0" borderId="2" xfId="0" applyNumberFormat="1" applyFont="1" applyBorder="1"/>
    <xf numFmtId="165" fontId="9" fillId="0" borderId="2" xfId="1" applyFont="1" applyBorder="1" applyAlignment="1"/>
    <xf numFmtId="164" fontId="9" fillId="0" borderId="2" xfId="0" applyNumberFormat="1" applyFont="1" applyBorder="1" applyAlignment="1">
      <alignment horizontal="center"/>
    </xf>
    <xf numFmtId="172" fontId="0" fillId="0" borderId="0" xfId="4" applyNumberFormat="1" applyFont="1"/>
    <xf numFmtId="43" fontId="2" fillId="0" borderId="2" xfId="3" applyNumberFormat="1" applyFill="1" applyBorder="1"/>
    <xf numFmtId="43" fontId="9" fillId="0" borderId="2" xfId="0" applyNumberFormat="1" applyFont="1" applyBorder="1"/>
    <xf numFmtId="164" fontId="9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43" fontId="9" fillId="0" borderId="0" xfId="0" applyNumberFormat="1" applyFont="1"/>
    <xf numFmtId="0" fontId="9" fillId="0" borderId="12" xfId="0" applyFont="1" applyBorder="1"/>
    <xf numFmtId="2" fontId="9" fillId="0" borderId="6" xfId="0" applyNumberFormat="1" applyFont="1" applyBorder="1"/>
    <xf numFmtId="10" fontId="9" fillId="0" borderId="2" xfId="4" applyNumberFormat="1" applyFont="1" applyBorder="1" applyAlignment="1">
      <alignment horizontal="center"/>
    </xf>
    <xf numFmtId="10" fontId="9" fillId="0" borderId="2" xfId="4" applyNumberFormat="1" applyFont="1" applyBorder="1" applyAlignment="1"/>
    <xf numFmtId="0" fontId="11" fillId="0" borderId="0" xfId="0" applyFont="1" applyAlignment="1">
      <alignment horizontal="center"/>
    </xf>
  </cellXfs>
  <cellStyles count="5">
    <cellStyle name="Comma" xfId="1" builtinId="3"/>
    <cellStyle name="Currency" xfId="2" builtinId="4"/>
    <cellStyle name="Currency_Sheet1" xfId="3" xr:uid="{00000000-0005-0000-0000-000002000000}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8BE4F-DDBD-4E12-8AFB-756F627EB176}">
  <dimension ref="B2:L18"/>
  <sheetViews>
    <sheetView workbookViewId="0">
      <selection activeCell="G18" sqref="G18"/>
    </sheetView>
  </sheetViews>
  <sheetFormatPr defaultRowHeight="15" x14ac:dyDescent="0.25"/>
  <cols>
    <col min="1" max="1" width="5.5703125" customWidth="1"/>
    <col min="2" max="2" width="17.5703125" bestFit="1" customWidth="1"/>
    <col min="6" max="7" width="11.140625" bestFit="1" customWidth="1"/>
    <col min="8" max="8" width="10.140625" bestFit="1" customWidth="1"/>
    <col min="12" max="12" width="12" bestFit="1" customWidth="1"/>
  </cols>
  <sheetData>
    <row r="2" spans="2:12" ht="18.75" x14ac:dyDescent="0.3">
      <c r="B2" s="58" t="s">
        <v>27</v>
      </c>
    </row>
    <row r="5" spans="2:12" x14ac:dyDescent="0.25">
      <c r="B5" s="59" t="s">
        <v>28</v>
      </c>
      <c r="C5" s="60"/>
      <c r="D5" s="60"/>
      <c r="E5" s="60"/>
      <c r="F5" s="59" t="s">
        <v>29</v>
      </c>
      <c r="G5" s="59" t="s">
        <v>15</v>
      </c>
      <c r="H5" s="59" t="s">
        <v>11</v>
      </c>
    </row>
    <row r="6" spans="2:12" x14ac:dyDescent="0.25">
      <c r="B6" s="62">
        <v>40430</v>
      </c>
      <c r="F6" s="55">
        <v>0.03</v>
      </c>
      <c r="G6" s="5">
        <f t="shared" ref="G6:G18" si="0">F6+0.009</f>
        <v>3.9E-2</v>
      </c>
      <c r="H6" s="55">
        <f t="shared" ref="H6:H13" si="1">G6/365</f>
        <v>1.0684931506849315E-4</v>
      </c>
    </row>
    <row r="7" spans="2:12" x14ac:dyDescent="0.25">
      <c r="B7" s="62">
        <v>42033</v>
      </c>
      <c r="F7" s="55">
        <v>2.8500000000000001E-2</v>
      </c>
      <c r="G7" s="5">
        <f t="shared" si="0"/>
        <v>3.7499999999999999E-2</v>
      </c>
      <c r="H7" s="55">
        <f t="shared" si="1"/>
        <v>1.0273972602739725E-4</v>
      </c>
    </row>
    <row r="8" spans="2:12" x14ac:dyDescent="0.25">
      <c r="B8" s="62">
        <v>42202</v>
      </c>
      <c r="F8" s="55">
        <v>2.7E-2</v>
      </c>
      <c r="G8" s="55">
        <f t="shared" si="0"/>
        <v>3.5999999999999997E-2</v>
      </c>
      <c r="H8" s="55">
        <f t="shared" si="1"/>
        <v>9.8630136986301367E-5</v>
      </c>
    </row>
    <row r="9" spans="2:12" x14ac:dyDescent="0.25">
      <c r="B9" s="62">
        <v>42929</v>
      </c>
      <c r="F9" s="55">
        <v>2.9499999999999998E-2</v>
      </c>
      <c r="G9" s="5">
        <f t="shared" si="0"/>
        <v>3.85E-2</v>
      </c>
      <c r="H9" s="55">
        <f t="shared" si="1"/>
        <v>1.0547945205479451E-4</v>
      </c>
    </row>
    <row r="10" spans="2:12" x14ac:dyDescent="0.25">
      <c r="B10" s="62">
        <v>42985</v>
      </c>
      <c r="F10" s="55">
        <v>3.2000000000000001E-2</v>
      </c>
      <c r="G10" s="55">
        <f t="shared" si="0"/>
        <v>4.1000000000000002E-2</v>
      </c>
      <c r="H10" s="55">
        <f t="shared" si="1"/>
        <v>1.1232876712328768E-4</v>
      </c>
    </row>
    <row r="11" spans="2:12" x14ac:dyDescent="0.25">
      <c r="B11" s="62">
        <v>43118</v>
      </c>
      <c r="F11" s="55">
        <v>3.4500000000000003E-2</v>
      </c>
      <c r="G11" s="55">
        <f t="shared" si="0"/>
        <v>4.3500000000000004E-2</v>
      </c>
      <c r="H11" s="55">
        <f t="shared" si="1"/>
        <v>1.1917808219178084E-4</v>
      </c>
    </row>
    <row r="12" spans="2:12" x14ac:dyDescent="0.25">
      <c r="B12" s="62">
        <v>43293</v>
      </c>
      <c r="F12" s="55">
        <v>3.6999999999999998E-2</v>
      </c>
      <c r="G12" s="55">
        <f t="shared" si="0"/>
        <v>4.5999999999999999E-2</v>
      </c>
      <c r="H12" s="55">
        <f t="shared" si="1"/>
        <v>1.2602739726027396E-4</v>
      </c>
    </row>
    <row r="13" spans="2:12" x14ac:dyDescent="0.25">
      <c r="B13" s="62">
        <v>43398</v>
      </c>
      <c r="F13" s="55">
        <v>3.95E-2</v>
      </c>
      <c r="G13" s="55">
        <f t="shared" si="0"/>
        <v>4.8500000000000001E-2</v>
      </c>
      <c r="H13" s="55">
        <f t="shared" si="1"/>
        <v>1.3287671232876713E-4</v>
      </c>
      <c r="I13" t="s">
        <v>40</v>
      </c>
      <c r="L13" s="55">
        <f t="shared" ref="L13:L18" si="2">G13/366</f>
        <v>1.3251366120218579E-4</v>
      </c>
    </row>
    <row r="14" spans="2:12" x14ac:dyDescent="0.25">
      <c r="B14" s="62">
        <v>43895</v>
      </c>
      <c r="F14" s="55">
        <v>3.4500000000000003E-2</v>
      </c>
      <c r="G14" s="55">
        <f t="shared" si="0"/>
        <v>4.3500000000000004E-2</v>
      </c>
      <c r="H14" s="55">
        <f>G14/365</f>
        <v>1.1917808219178084E-4</v>
      </c>
      <c r="I14" t="s">
        <v>38</v>
      </c>
      <c r="J14" t="s">
        <v>39</v>
      </c>
      <c r="L14" s="55">
        <f t="shared" si="2"/>
        <v>1.1885245901639345E-4</v>
      </c>
    </row>
    <row r="15" spans="2:12" x14ac:dyDescent="0.25">
      <c r="B15" s="62">
        <v>43907</v>
      </c>
      <c r="F15" s="55">
        <v>2.9499999999999998E-2</v>
      </c>
      <c r="G15" s="55">
        <f t="shared" si="0"/>
        <v>3.85E-2</v>
      </c>
      <c r="H15" s="55">
        <f>G15/365</f>
        <v>1.0547945205479451E-4</v>
      </c>
      <c r="I15" t="s">
        <v>40</v>
      </c>
      <c r="L15" s="55">
        <f t="shared" si="2"/>
        <v>1.0519125683060109E-4</v>
      </c>
    </row>
    <row r="16" spans="2:12" x14ac:dyDescent="0.25">
      <c r="B16" s="62">
        <v>43920</v>
      </c>
      <c r="F16" s="55">
        <v>2.4500000000000001E-2</v>
      </c>
      <c r="G16" s="55">
        <f t="shared" si="0"/>
        <v>3.3500000000000002E-2</v>
      </c>
      <c r="H16" s="55">
        <f>G16/365</f>
        <v>9.178082191780822E-5</v>
      </c>
      <c r="I16" t="s">
        <v>40</v>
      </c>
      <c r="L16" s="55">
        <f t="shared" si="2"/>
        <v>9.1530054644808751E-5</v>
      </c>
    </row>
    <row r="17" spans="2:12" x14ac:dyDescent="0.25">
      <c r="B17" s="73">
        <v>44623</v>
      </c>
      <c r="F17" s="55">
        <v>2.7E-2</v>
      </c>
      <c r="G17" s="55">
        <f t="shared" si="0"/>
        <v>3.5999999999999997E-2</v>
      </c>
      <c r="H17" s="55">
        <f>G17/365</f>
        <v>9.8630136986301367E-5</v>
      </c>
      <c r="I17" t="s">
        <v>40</v>
      </c>
      <c r="L17" s="55">
        <f t="shared" si="2"/>
        <v>9.8360655737704913E-5</v>
      </c>
    </row>
    <row r="18" spans="2:12" x14ac:dyDescent="0.25">
      <c r="B18" s="74">
        <v>44665</v>
      </c>
      <c r="F18" s="55">
        <v>3.2000000000000001E-2</v>
      </c>
      <c r="G18" s="55">
        <f t="shared" si="0"/>
        <v>4.1000000000000002E-2</v>
      </c>
      <c r="H18" s="55">
        <f>G18/365</f>
        <v>1.1232876712328768E-4</v>
      </c>
      <c r="I18" t="s">
        <v>40</v>
      </c>
      <c r="L18" s="55">
        <f t="shared" si="2"/>
        <v>1.1202185792349728E-4</v>
      </c>
    </row>
  </sheetData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EFD96-AFFC-4BF5-83F4-9819A011045A}">
  <sheetPr>
    <tabColor rgb="FF00B050"/>
    <pageSetUpPr fitToPage="1"/>
  </sheetPr>
  <dimension ref="A1:M79"/>
  <sheetViews>
    <sheetView zoomScaleNormal="100" workbookViewId="0">
      <selection activeCell="L28" sqref="L28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1.85546875" style="22" customWidth="1"/>
    <col min="9" max="9" width="16.42578125" style="70" customWidth="1"/>
    <col min="10" max="10" width="15.5703125" style="22" hidden="1" customWidth="1"/>
    <col min="11" max="11" width="9.140625" style="22" hidden="1" customWidth="1"/>
    <col min="12" max="12" width="10.7109375" style="22" bestFit="1" customWidth="1"/>
    <col min="13" max="16384" width="9.140625" style="22"/>
  </cols>
  <sheetData>
    <row r="1" spans="1:13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7"/>
    </row>
    <row r="2" spans="1:13" ht="23.25" x14ac:dyDescent="0.35">
      <c r="A2" s="21"/>
      <c r="B2" s="113" t="s">
        <v>34</v>
      </c>
      <c r="C2" s="113"/>
      <c r="D2" s="113"/>
      <c r="E2" s="113"/>
      <c r="F2" s="113"/>
      <c r="G2" s="113"/>
      <c r="H2" s="113"/>
      <c r="I2" s="117"/>
      <c r="J2" s="47">
        <f>$C$5*K2</f>
        <v>0</v>
      </c>
      <c r="K2" s="83">
        <v>0</v>
      </c>
    </row>
    <row r="3" spans="1:13" x14ac:dyDescent="0.25">
      <c r="J3" s="47">
        <f>($C$5-$J$2)*K3</f>
        <v>2500</v>
      </c>
      <c r="K3" s="83">
        <v>0.25</v>
      </c>
    </row>
    <row r="4" spans="1:13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  <c r="J4" s="47">
        <f>($C$5-$J$2-$J$3)*K4</f>
        <v>2499.9999999975003</v>
      </c>
      <c r="K4" s="83">
        <v>0.33333333333300003</v>
      </c>
      <c r="L4" s="22"/>
      <c r="M4" s="22"/>
    </row>
    <row r="5" spans="1:13" x14ac:dyDescent="0.25">
      <c r="B5" s="72">
        <v>45078</v>
      </c>
      <c r="C5" s="20">
        <v>10000</v>
      </c>
      <c r="D5" s="24">
        <f>C5/4</f>
        <v>2500</v>
      </c>
      <c r="E5" s="25">
        <v>6.7000000000000004E-2</v>
      </c>
      <c r="F5" s="98">
        <f>E5+0.009</f>
        <v>7.5999999999999998E-2</v>
      </c>
      <c r="G5" s="25">
        <f>F5/365</f>
        <v>2.0821917808219178E-4</v>
      </c>
      <c r="J5" s="47">
        <f>($C$5-$J$2-$J$3-$J$4)*K5</f>
        <v>2500.0000000012496</v>
      </c>
      <c r="K5" s="83">
        <v>0.5</v>
      </c>
    </row>
    <row r="6" spans="1:13" x14ac:dyDescent="0.25">
      <c r="B6" s="32" t="s">
        <v>41</v>
      </c>
      <c r="C6" s="79"/>
      <c r="D6" s="24"/>
      <c r="E6" s="25"/>
      <c r="F6" s="25"/>
      <c r="G6" s="25"/>
      <c r="J6" s="47">
        <f>($C$5-$J$2-$J$3-$J$4-$J$5)*K6</f>
        <v>2500.0000000012496</v>
      </c>
      <c r="K6" s="83">
        <v>1</v>
      </c>
    </row>
    <row r="7" spans="1:13" x14ac:dyDescent="0.25">
      <c r="C7" s="26"/>
      <c r="E7" s="93"/>
      <c r="F7" s="67"/>
      <c r="G7" s="25"/>
      <c r="J7" s="47">
        <f>($C$5-$J$2-$J$3-$J$4-$J$5-$J$6)*K7</f>
        <v>0</v>
      </c>
      <c r="K7" s="83">
        <v>0</v>
      </c>
    </row>
    <row r="8" spans="1:13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09" t="s">
        <v>19</v>
      </c>
      <c r="L8" s="22"/>
      <c r="M8" s="22"/>
    </row>
    <row r="9" spans="1:13" x14ac:dyDescent="0.25">
      <c r="B9" s="39">
        <f>B5</f>
        <v>45078</v>
      </c>
      <c r="C9" s="39" t="str">
        <f>IF(B9=44713,"June 15, 2022",IF(B9=45078,"June 15, 2023",IF(B9=45444,"June 15, 2024",IF(B9=45809,"June 15, 2025",IF(B9=46174,"June 15, 2026",IF(B9=46539,"June 15, 2027",IF(B9=46905,"June 15, 2028",IF(B9=47270,"June 15, 2029",IF(B9=47635,"June 15, 2030",IF(B9=48000,"June 15, 2031",EOMONTH(B9,0)))))))))))</f>
        <v>June 15, 2023</v>
      </c>
      <c r="D9" s="4">
        <f>C5</f>
        <v>10000</v>
      </c>
      <c r="E9" s="92"/>
      <c r="F9" s="30">
        <f t="shared" ref="F9:F49" si="0">C9-B9+1</f>
        <v>15</v>
      </c>
      <c r="G9" s="31">
        <f>$G$5*F9*D9</f>
        <v>31.232876712328768</v>
      </c>
      <c r="H9" s="121"/>
      <c r="I9" s="118"/>
    </row>
    <row r="10" spans="1:13" x14ac:dyDescent="0.25">
      <c r="B10" s="39">
        <f>C9+1</f>
        <v>45093</v>
      </c>
      <c r="C10" s="39">
        <f t="shared" ref="C10:C50" si="1">IF(B10=44713,"June 15, 2022",IF(B10=45078,"June 15, 2023",IF(B10=45444,"June 15, 2024",IF(B10=45809,"June 15, 2025",IF(B10=46174,"June 15, 2026",IF(B10=46539,"June 15, 2027",IF(B10=46905,"June 15, 2028",IF(B10=47270,"June 15, 2029",IF(B10=47635,"June 15, 2030",IF(B10=48000,"June 15, 2031",EOMONTH(B10,0)))))))))))</f>
        <v>45107</v>
      </c>
      <c r="D10" s="4">
        <f>D9+G9-E9</f>
        <v>10031.232876712329</v>
      </c>
      <c r="E10" s="92"/>
      <c r="F10" s="30">
        <f t="shared" si="0"/>
        <v>15</v>
      </c>
      <c r="G10" s="31">
        <f t="shared" ref="G10:G50" si="2">$G$5*F10*D10</f>
        <v>31.330425971101523</v>
      </c>
      <c r="H10" s="121">
        <f>C5</f>
        <v>10000</v>
      </c>
      <c r="I10" s="118">
        <v>0.25</v>
      </c>
    </row>
    <row r="11" spans="1:13" x14ac:dyDescent="0.25">
      <c r="B11" s="39">
        <f t="shared" ref="B11:B50" si="3">C10+1</f>
        <v>45108</v>
      </c>
      <c r="C11" s="39">
        <f t="shared" si="1"/>
        <v>45138</v>
      </c>
      <c r="D11" s="4">
        <f t="shared" ref="D11" si="4">D10+G10-E10</f>
        <v>10062.563302683431</v>
      </c>
      <c r="E11" s="127">
        <f>SUM(G9:G10)+(H11)</f>
        <v>2562.5633026834303</v>
      </c>
      <c r="F11" s="30">
        <f t="shared" si="0"/>
        <v>31</v>
      </c>
      <c r="G11" s="31">
        <f t="shared" si="2"/>
        <v>64.95177846882784</v>
      </c>
      <c r="H11" s="121">
        <f>H10*I10</f>
        <v>2500</v>
      </c>
      <c r="I11" s="118"/>
    </row>
    <row r="12" spans="1:13" x14ac:dyDescent="0.25">
      <c r="B12" s="39">
        <f t="shared" si="3"/>
        <v>45139</v>
      </c>
      <c r="C12" s="39">
        <f t="shared" si="1"/>
        <v>45169</v>
      </c>
      <c r="D12" s="4">
        <f>D11+G11-E11</f>
        <v>7564.9517784688296</v>
      </c>
      <c r="E12" s="92"/>
      <c r="F12" s="30">
        <f t="shared" si="0"/>
        <v>31</v>
      </c>
      <c r="G12" s="31">
        <f t="shared" si="2"/>
        <v>48.830209287870034</v>
      </c>
      <c r="H12" s="121"/>
      <c r="I12" s="118"/>
    </row>
    <row r="13" spans="1:13" x14ac:dyDescent="0.25">
      <c r="B13" s="39">
        <f t="shared" si="3"/>
        <v>45170</v>
      </c>
      <c r="C13" s="39">
        <f t="shared" si="1"/>
        <v>45199</v>
      </c>
      <c r="D13" s="4">
        <f>D12+G12-E12</f>
        <v>7613.7819877566999</v>
      </c>
      <c r="E13" s="92"/>
      <c r="F13" s="30">
        <f t="shared" si="0"/>
        <v>30</v>
      </c>
      <c r="G13" s="31">
        <f t="shared" si="2"/>
        <v>47.560062827630894</v>
      </c>
      <c r="H13" s="121"/>
      <c r="I13" s="118"/>
    </row>
    <row r="14" spans="1:13" x14ac:dyDescent="0.25">
      <c r="B14" s="39">
        <f t="shared" si="3"/>
        <v>45200</v>
      </c>
      <c r="C14" s="39">
        <f t="shared" si="1"/>
        <v>45230</v>
      </c>
      <c r="D14" s="4">
        <f t="shared" ref="D14:D50" si="5">D13+G13-E13</f>
        <v>7661.3420505843305</v>
      </c>
      <c r="E14" s="92"/>
      <c r="F14" s="30">
        <f t="shared" si="0"/>
        <v>31</v>
      </c>
      <c r="G14" s="31">
        <f t="shared" si="2"/>
        <v>49.452388688155295</v>
      </c>
      <c r="H14" s="121"/>
      <c r="I14" s="118"/>
    </row>
    <row r="15" spans="1:13" x14ac:dyDescent="0.25">
      <c r="B15" s="39">
        <f t="shared" si="3"/>
        <v>45231</v>
      </c>
      <c r="C15" s="39">
        <f t="shared" si="1"/>
        <v>45260</v>
      </c>
      <c r="D15" s="4">
        <f t="shared" si="5"/>
        <v>7710.7944392724858</v>
      </c>
      <c r="E15" s="92"/>
      <c r="F15" s="30">
        <f t="shared" si="0"/>
        <v>30</v>
      </c>
      <c r="G15" s="31">
        <f t="shared" si="2"/>
        <v>48.166058415181553</v>
      </c>
      <c r="H15" s="121"/>
      <c r="I15" s="118"/>
    </row>
    <row r="16" spans="1:13" x14ac:dyDescent="0.25">
      <c r="B16" s="39">
        <f t="shared" si="3"/>
        <v>45261</v>
      </c>
      <c r="C16" s="39">
        <f t="shared" si="1"/>
        <v>45291</v>
      </c>
      <c r="D16" s="4">
        <f t="shared" si="5"/>
        <v>7758.9604976876672</v>
      </c>
      <c r="E16" s="92"/>
      <c r="F16" s="30">
        <f t="shared" si="0"/>
        <v>31</v>
      </c>
      <c r="G16" s="31">
        <f t="shared" si="2"/>
        <v>50.082495705622307</v>
      </c>
      <c r="H16" s="121"/>
      <c r="I16" s="118"/>
    </row>
    <row r="17" spans="2:9" x14ac:dyDescent="0.25">
      <c r="B17" s="39">
        <f t="shared" si="3"/>
        <v>45292</v>
      </c>
      <c r="C17" s="39">
        <f t="shared" si="1"/>
        <v>45322</v>
      </c>
      <c r="D17" s="4">
        <f t="shared" si="5"/>
        <v>7809.0429933932892</v>
      </c>
      <c r="E17" s="92"/>
      <c r="F17" s="30">
        <f t="shared" si="0"/>
        <v>31</v>
      </c>
      <c r="G17" s="31">
        <f t="shared" si="2"/>
        <v>50.405767924478326</v>
      </c>
      <c r="H17" s="121"/>
      <c r="I17" s="118"/>
    </row>
    <row r="18" spans="2:9" x14ac:dyDescent="0.25">
      <c r="B18" s="39">
        <f t="shared" si="3"/>
        <v>45323</v>
      </c>
      <c r="C18" s="39">
        <f t="shared" si="1"/>
        <v>45351</v>
      </c>
      <c r="D18" s="4">
        <f t="shared" si="5"/>
        <v>7859.4487613177671</v>
      </c>
      <c r="E18" s="92"/>
      <c r="F18" s="30">
        <f t="shared" si="0"/>
        <v>29</v>
      </c>
      <c r="G18" s="31">
        <f t="shared" si="2"/>
        <v>47.458150876559884</v>
      </c>
      <c r="H18" s="121"/>
      <c r="I18" s="118"/>
    </row>
    <row r="19" spans="2:9" x14ac:dyDescent="0.25">
      <c r="B19" s="39">
        <f t="shared" si="3"/>
        <v>45352</v>
      </c>
      <c r="C19" s="39">
        <f t="shared" si="1"/>
        <v>45382</v>
      </c>
      <c r="D19" s="4">
        <f t="shared" si="5"/>
        <v>7906.9069121943267</v>
      </c>
      <c r="E19" s="92"/>
      <c r="F19" s="30">
        <f t="shared" si="0"/>
        <v>31</v>
      </c>
      <c r="G19" s="31">
        <f t="shared" si="2"/>
        <v>51.037459411314607</v>
      </c>
      <c r="H19" s="121"/>
      <c r="I19" s="118"/>
    </row>
    <row r="20" spans="2:9" x14ac:dyDescent="0.25">
      <c r="B20" s="39">
        <f t="shared" si="3"/>
        <v>45383</v>
      </c>
      <c r="C20" s="39">
        <f t="shared" si="1"/>
        <v>45412</v>
      </c>
      <c r="D20" s="4">
        <f t="shared" si="5"/>
        <v>7957.9443716056412</v>
      </c>
      <c r="E20" s="92"/>
      <c r="F20" s="30">
        <f t="shared" si="0"/>
        <v>30</v>
      </c>
      <c r="G20" s="31">
        <f t="shared" si="2"/>
        <v>49.709899088385924</v>
      </c>
      <c r="H20" s="121"/>
      <c r="I20" s="118"/>
    </row>
    <row r="21" spans="2:9" x14ac:dyDescent="0.25">
      <c r="B21" s="39">
        <f t="shared" si="3"/>
        <v>45413</v>
      </c>
      <c r="C21" s="39">
        <f t="shared" si="1"/>
        <v>45443</v>
      </c>
      <c r="D21" s="4">
        <f t="shared" si="5"/>
        <v>8007.6542706940272</v>
      </c>
      <c r="E21" s="92"/>
      <c r="F21" s="30">
        <f t="shared" si="0"/>
        <v>31</v>
      </c>
      <c r="G21" s="31">
        <f t="shared" si="2"/>
        <v>51.68776290891816</v>
      </c>
      <c r="H21" s="121"/>
      <c r="I21" s="118"/>
    </row>
    <row r="22" spans="2:9" x14ac:dyDescent="0.25">
      <c r="B22" s="39">
        <f t="shared" si="3"/>
        <v>45444</v>
      </c>
      <c r="C22" s="39" t="str">
        <f t="shared" si="1"/>
        <v>June 15, 2024</v>
      </c>
      <c r="D22" s="4">
        <f t="shared" si="5"/>
        <v>8059.3420336029458</v>
      </c>
      <c r="E22" s="92"/>
      <c r="F22" s="30">
        <f t="shared" si="0"/>
        <v>15</v>
      </c>
      <c r="G22" s="31">
        <f t="shared" si="2"/>
        <v>25.171643611800981</v>
      </c>
      <c r="H22" s="121"/>
      <c r="I22" s="118"/>
    </row>
    <row r="23" spans="2:9" x14ac:dyDescent="0.25">
      <c r="B23" s="39">
        <f t="shared" si="3"/>
        <v>45459</v>
      </c>
      <c r="C23" s="39">
        <f t="shared" si="1"/>
        <v>45473</v>
      </c>
      <c r="D23" s="4">
        <f t="shared" si="5"/>
        <v>8084.5136772147471</v>
      </c>
      <c r="E23" s="92"/>
      <c r="F23" s="30">
        <f t="shared" si="0"/>
        <v>15</v>
      </c>
      <c r="G23" s="31">
        <f t="shared" si="2"/>
        <v>25.250261895958388</v>
      </c>
      <c r="H23" s="121">
        <f>H10-H11</f>
        <v>7500</v>
      </c>
      <c r="I23" s="118">
        <v>0.33</v>
      </c>
    </row>
    <row r="24" spans="2:9" x14ac:dyDescent="0.25">
      <c r="B24" s="39">
        <f t="shared" si="3"/>
        <v>45474</v>
      </c>
      <c r="C24" s="39">
        <f t="shared" si="1"/>
        <v>45504</v>
      </c>
      <c r="D24" s="4">
        <f t="shared" si="5"/>
        <v>8109.7639391107059</v>
      </c>
      <c r="E24" s="127">
        <f>SUM(G11:G23)+(H24)</f>
        <v>3084.7639391107041</v>
      </c>
      <c r="F24" s="30">
        <f t="shared" si="0"/>
        <v>31</v>
      </c>
      <c r="G24" s="31">
        <f t="shared" si="2"/>
        <v>52.346859837109101</v>
      </c>
      <c r="H24" s="121">
        <f>H23*I23</f>
        <v>2475</v>
      </c>
      <c r="I24" s="118"/>
    </row>
    <row r="25" spans="2:9" x14ac:dyDescent="0.25">
      <c r="B25" s="39">
        <f t="shared" si="3"/>
        <v>45505</v>
      </c>
      <c r="C25" s="39">
        <f t="shared" si="1"/>
        <v>45535</v>
      </c>
      <c r="D25" s="4">
        <f t="shared" si="5"/>
        <v>5077.346859837111</v>
      </c>
      <c r="E25" s="92"/>
      <c r="F25" s="30">
        <f t="shared" si="0"/>
        <v>31</v>
      </c>
      <c r="G25" s="31">
        <f t="shared" si="2"/>
        <v>32.773230689797899</v>
      </c>
      <c r="H25" s="121"/>
      <c r="I25" s="118"/>
    </row>
    <row r="26" spans="2:9" x14ac:dyDescent="0.25">
      <c r="B26" s="39">
        <f t="shared" si="3"/>
        <v>45536</v>
      </c>
      <c r="C26" s="39">
        <f t="shared" si="1"/>
        <v>45565</v>
      </c>
      <c r="D26" s="4">
        <f t="shared" si="5"/>
        <v>5110.1200905269088</v>
      </c>
      <c r="E26" s="92"/>
      <c r="F26" s="30">
        <f t="shared" si="0"/>
        <v>30</v>
      </c>
      <c r="G26" s="31">
        <f t="shared" si="2"/>
        <v>31.920750154524253</v>
      </c>
      <c r="H26" s="121"/>
      <c r="I26" s="118"/>
    </row>
    <row r="27" spans="2:9" x14ac:dyDescent="0.25">
      <c r="B27" s="39">
        <f t="shared" si="3"/>
        <v>45566</v>
      </c>
      <c r="C27" s="39">
        <f t="shared" si="1"/>
        <v>45596</v>
      </c>
      <c r="D27" s="4">
        <f t="shared" si="5"/>
        <v>5142.0408406814331</v>
      </c>
      <c r="E27" s="92"/>
      <c r="F27" s="30">
        <f t="shared" si="0"/>
        <v>31</v>
      </c>
      <c r="G27" s="31">
        <f t="shared" si="2"/>
        <v>33.190817042864261</v>
      </c>
      <c r="H27" s="121"/>
      <c r="I27" s="118"/>
    </row>
    <row r="28" spans="2:9" x14ac:dyDescent="0.25">
      <c r="B28" s="39">
        <f t="shared" si="3"/>
        <v>45597</v>
      </c>
      <c r="C28" s="39">
        <f t="shared" si="1"/>
        <v>45626</v>
      </c>
      <c r="D28" s="4">
        <f t="shared" si="5"/>
        <v>5175.2316577242973</v>
      </c>
      <c r="E28" s="92"/>
      <c r="F28" s="30">
        <f t="shared" si="0"/>
        <v>30</v>
      </c>
      <c r="G28" s="31">
        <f t="shared" si="2"/>
        <v>32.327474464688763</v>
      </c>
      <c r="H28" s="121"/>
      <c r="I28" s="118"/>
    </row>
    <row r="29" spans="2:9" x14ac:dyDescent="0.25">
      <c r="B29" s="39">
        <f t="shared" si="3"/>
        <v>45627</v>
      </c>
      <c r="C29" s="39">
        <f t="shared" si="1"/>
        <v>45657</v>
      </c>
      <c r="D29" s="4">
        <f t="shared" si="5"/>
        <v>5207.559132188986</v>
      </c>
      <c r="E29" s="92"/>
      <c r="F29" s="30">
        <f t="shared" si="0"/>
        <v>31</v>
      </c>
      <c r="G29" s="31">
        <f t="shared" si="2"/>
        <v>33.613724151882877</v>
      </c>
      <c r="H29" s="121"/>
      <c r="I29" s="118"/>
    </row>
    <row r="30" spans="2:9" x14ac:dyDescent="0.25">
      <c r="B30" s="39">
        <f t="shared" si="3"/>
        <v>45658</v>
      </c>
      <c r="C30" s="39">
        <f t="shared" si="1"/>
        <v>45688</v>
      </c>
      <c r="D30" s="4">
        <f t="shared" si="5"/>
        <v>5241.1728563408687</v>
      </c>
      <c r="E30" s="92"/>
      <c r="F30" s="30">
        <f t="shared" si="0"/>
        <v>31</v>
      </c>
      <c r="G30" s="31">
        <f t="shared" si="2"/>
        <v>33.83069383435366</v>
      </c>
      <c r="H30" s="121"/>
      <c r="I30" s="118"/>
    </row>
    <row r="31" spans="2:9" x14ac:dyDescent="0.25">
      <c r="B31" s="39">
        <f t="shared" si="3"/>
        <v>45689</v>
      </c>
      <c r="C31" s="39">
        <f t="shared" si="1"/>
        <v>45716</v>
      </c>
      <c r="D31" s="4">
        <f t="shared" si="5"/>
        <v>5275.0035501752227</v>
      </c>
      <c r="E31" s="92"/>
      <c r="F31" s="30">
        <f t="shared" si="0"/>
        <v>28</v>
      </c>
      <c r="G31" s="31">
        <f t="shared" si="2"/>
        <v>30.753993300747602</v>
      </c>
      <c r="H31" s="121"/>
      <c r="I31" s="118"/>
    </row>
    <row r="32" spans="2:9" x14ac:dyDescent="0.25">
      <c r="B32" s="39">
        <f t="shared" si="3"/>
        <v>45717</v>
      </c>
      <c r="C32" s="39">
        <f t="shared" si="1"/>
        <v>45747</v>
      </c>
      <c r="D32" s="4">
        <f t="shared" si="5"/>
        <v>5305.7575434759701</v>
      </c>
      <c r="E32" s="92"/>
      <c r="F32" s="30">
        <f t="shared" si="0"/>
        <v>31</v>
      </c>
      <c r="G32" s="31">
        <f t="shared" si="2"/>
        <v>34.247574718984616</v>
      </c>
      <c r="H32" s="121"/>
      <c r="I32" s="118"/>
    </row>
    <row r="33" spans="2:9" x14ac:dyDescent="0.25">
      <c r="B33" s="39">
        <f t="shared" si="3"/>
        <v>45748</v>
      </c>
      <c r="C33" s="39">
        <f t="shared" si="1"/>
        <v>45777</v>
      </c>
      <c r="D33" s="4">
        <f t="shared" si="5"/>
        <v>5340.0051181949548</v>
      </c>
      <c r="E33" s="92"/>
      <c r="F33" s="30">
        <f t="shared" si="0"/>
        <v>30</v>
      </c>
      <c r="G33" s="31">
        <f t="shared" si="2"/>
        <v>33.356744299957526</v>
      </c>
      <c r="H33" s="121"/>
      <c r="I33" s="118"/>
    </row>
    <row r="34" spans="2:9" x14ac:dyDescent="0.25">
      <c r="B34" s="39">
        <f t="shared" si="3"/>
        <v>45778</v>
      </c>
      <c r="C34" s="39">
        <f t="shared" si="1"/>
        <v>45808</v>
      </c>
      <c r="D34" s="4">
        <f t="shared" si="5"/>
        <v>5373.3618624949122</v>
      </c>
      <c r="E34" s="92"/>
      <c r="F34" s="30">
        <f t="shared" si="0"/>
        <v>31</v>
      </c>
      <c r="G34" s="31">
        <f t="shared" si="2"/>
        <v>34.683946706953456</v>
      </c>
      <c r="H34" s="121"/>
      <c r="I34" s="118"/>
    </row>
    <row r="35" spans="2:9" x14ac:dyDescent="0.25">
      <c r="B35" s="39">
        <f t="shared" si="3"/>
        <v>45809</v>
      </c>
      <c r="C35" s="39" t="str">
        <f t="shared" si="1"/>
        <v>June 15, 2025</v>
      </c>
      <c r="D35" s="4">
        <f t="shared" si="5"/>
        <v>5408.0458092018653</v>
      </c>
      <c r="E35" s="92"/>
      <c r="F35" s="30">
        <f t="shared" si="0"/>
        <v>15</v>
      </c>
      <c r="G35" s="31">
        <f t="shared" si="2"/>
        <v>16.890882801342812</v>
      </c>
      <c r="H35" s="121"/>
      <c r="I35" s="118"/>
    </row>
    <row r="36" spans="2:9" x14ac:dyDescent="0.25">
      <c r="B36" s="39">
        <f t="shared" si="3"/>
        <v>45824</v>
      </c>
      <c r="C36" s="39">
        <f t="shared" si="1"/>
        <v>45838</v>
      </c>
      <c r="D36" s="4">
        <f t="shared" si="5"/>
        <v>5424.936692003208</v>
      </c>
      <c r="E36" s="92"/>
      <c r="F36" s="30">
        <f t="shared" si="0"/>
        <v>15</v>
      </c>
      <c r="G36" s="31">
        <f t="shared" si="2"/>
        <v>16.943637887352487</v>
      </c>
      <c r="H36" s="121">
        <f>H23-H24</f>
        <v>5025</v>
      </c>
      <c r="I36" s="118">
        <v>0.5</v>
      </c>
    </row>
    <row r="37" spans="2:9" x14ac:dyDescent="0.25">
      <c r="B37" s="39">
        <f t="shared" si="3"/>
        <v>45839</v>
      </c>
      <c r="C37" s="39">
        <f t="shared" si="1"/>
        <v>45869</v>
      </c>
      <c r="D37" s="4">
        <f t="shared" si="5"/>
        <v>5441.8803298905605</v>
      </c>
      <c r="E37" s="127">
        <f>SUM(G24:G36)+(H37)</f>
        <v>2929.3803298905596</v>
      </c>
      <c r="F37" s="30">
        <f t="shared" si="0"/>
        <v>31</v>
      </c>
      <c r="G37" s="31">
        <f t="shared" si="2"/>
        <v>35.126219334855229</v>
      </c>
      <c r="H37" s="121">
        <f>H36*I36</f>
        <v>2512.5</v>
      </c>
      <c r="I37" s="118"/>
    </row>
    <row r="38" spans="2:9" x14ac:dyDescent="0.25">
      <c r="B38" s="39">
        <f t="shared" si="3"/>
        <v>45870</v>
      </c>
      <c r="C38" s="39">
        <f t="shared" si="1"/>
        <v>45900</v>
      </c>
      <c r="D38" s="4">
        <f t="shared" si="5"/>
        <v>2547.6262193348557</v>
      </c>
      <c r="E38" s="92"/>
      <c r="F38" s="30">
        <f t="shared" si="0"/>
        <v>31</v>
      </c>
      <c r="G38" s="31">
        <f t="shared" si="2"/>
        <v>16.444403760966903</v>
      </c>
      <c r="H38" s="121"/>
      <c r="I38" s="118"/>
    </row>
    <row r="39" spans="2:9" x14ac:dyDescent="0.25">
      <c r="B39" s="39">
        <f t="shared" si="3"/>
        <v>45901</v>
      </c>
      <c r="C39" s="39">
        <f t="shared" si="1"/>
        <v>45930</v>
      </c>
      <c r="D39" s="4">
        <f t="shared" si="5"/>
        <v>2564.0706230958226</v>
      </c>
      <c r="E39" s="92"/>
      <c r="F39" s="30">
        <f t="shared" si="0"/>
        <v>30</v>
      </c>
      <c r="G39" s="31">
        <f t="shared" si="2"/>
        <v>16.016660330571167</v>
      </c>
      <c r="H39" s="121"/>
      <c r="I39" s="118"/>
    </row>
    <row r="40" spans="2:9" x14ac:dyDescent="0.25">
      <c r="B40" s="39">
        <f t="shared" si="3"/>
        <v>45931</v>
      </c>
      <c r="C40" s="39">
        <f t="shared" si="1"/>
        <v>45961</v>
      </c>
      <c r="D40" s="4">
        <f t="shared" si="5"/>
        <v>2580.0872834263937</v>
      </c>
      <c r="E40" s="92"/>
      <c r="F40" s="30">
        <f t="shared" si="0"/>
        <v>31</v>
      </c>
      <c r="G40" s="31">
        <f t="shared" si="2"/>
        <v>16.653933259596119</v>
      </c>
      <c r="H40" s="121"/>
      <c r="I40" s="118"/>
    </row>
    <row r="41" spans="2:9" x14ac:dyDescent="0.25">
      <c r="B41" s="39">
        <f t="shared" si="3"/>
        <v>45962</v>
      </c>
      <c r="C41" s="39">
        <f t="shared" si="1"/>
        <v>45991</v>
      </c>
      <c r="D41" s="4">
        <f t="shared" si="5"/>
        <v>2596.7412166859899</v>
      </c>
      <c r="E41" s="92"/>
      <c r="F41" s="30">
        <f t="shared" si="0"/>
        <v>30</v>
      </c>
      <c r="G41" s="31">
        <f t="shared" si="2"/>
        <v>16.220739654915224</v>
      </c>
      <c r="H41" s="121"/>
      <c r="I41" s="118"/>
    </row>
    <row r="42" spans="2:9" x14ac:dyDescent="0.25">
      <c r="B42" s="39">
        <f t="shared" si="3"/>
        <v>45992</v>
      </c>
      <c r="C42" s="39">
        <f t="shared" si="1"/>
        <v>46022</v>
      </c>
      <c r="D42" s="4">
        <f t="shared" si="5"/>
        <v>2612.9619563409051</v>
      </c>
      <c r="E42" s="92"/>
      <c r="F42" s="30">
        <f t="shared" si="0"/>
        <v>31</v>
      </c>
      <c r="G42" s="31">
        <f t="shared" si="2"/>
        <v>16.866132518189513</v>
      </c>
      <c r="H42" s="121"/>
      <c r="I42" s="118"/>
    </row>
    <row r="43" spans="2:9" x14ac:dyDescent="0.25">
      <c r="B43" s="39">
        <f t="shared" si="3"/>
        <v>46023</v>
      </c>
      <c r="C43" s="39">
        <f t="shared" si="1"/>
        <v>46053</v>
      </c>
      <c r="D43" s="4">
        <f t="shared" si="5"/>
        <v>2629.8280888590948</v>
      </c>
      <c r="E43" s="92"/>
      <c r="F43" s="30">
        <f t="shared" si="0"/>
        <v>31</v>
      </c>
      <c r="G43" s="31">
        <f t="shared" si="2"/>
        <v>16.974999937950759</v>
      </c>
      <c r="H43" s="121"/>
      <c r="I43" s="118"/>
    </row>
    <row r="44" spans="2:9" x14ac:dyDescent="0.25">
      <c r="B44" s="39">
        <f t="shared" si="3"/>
        <v>46054</v>
      </c>
      <c r="C44" s="39">
        <f t="shared" si="1"/>
        <v>46081</v>
      </c>
      <c r="D44" s="4">
        <f t="shared" si="5"/>
        <v>2646.8030887970453</v>
      </c>
      <c r="E44" s="92"/>
      <c r="F44" s="30">
        <f t="shared" si="0"/>
        <v>28</v>
      </c>
      <c r="G44" s="31">
        <f t="shared" si="2"/>
        <v>15.431224583452364</v>
      </c>
      <c r="H44" s="121"/>
      <c r="I44" s="118"/>
    </row>
    <row r="45" spans="2:9" x14ac:dyDescent="0.25">
      <c r="B45" s="39">
        <f t="shared" si="3"/>
        <v>46082</v>
      </c>
      <c r="C45" s="39">
        <f t="shared" si="1"/>
        <v>46112</v>
      </c>
      <c r="D45" s="4">
        <f t="shared" si="5"/>
        <v>2662.2343133804975</v>
      </c>
      <c r="E45" s="92"/>
      <c r="F45" s="30">
        <f t="shared" si="0"/>
        <v>31</v>
      </c>
      <c r="G45" s="31">
        <f t="shared" si="2"/>
        <v>17.184175458423155</v>
      </c>
      <c r="H45" s="121"/>
      <c r="I45" s="118"/>
    </row>
    <row r="46" spans="2:9" x14ac:dyDescent="0.25">
      <c r="B46" s="39">
        <f t="shared" si="3"/>
        <v>46113</v>
      </c>
      <c r="C46" s="39">
        <f t="shared" si="1"/>
        <v>46142</v>
      </c>
      <c r="D46" s="4">
        <f t="shared" si="5"/>
        <v>2679.4184888389204</v>
      </c>
      <c r="E46" s="92"/>
      <c r="F46" s="30">
        <f t="shared" si="0"/>
        <v>30</v>
      </c>
      <c r="G46" s="31">
        <f t="shared" si="2"/>
        <v>16.737189464528051</v>
      </c>
      <c r="H46" s="121"/>
      <c r="I46" s="118"/>
    </row>
    <row r="47" spans="2:9" x14ac:dyDescent="0.25">
      <c r="B47" s="39">
        <f t="shared" si="3"/>
        <v>46143</v>
      </c>
      <c r="C47" s="39">
        <f t="shared" si="1"/>
        <v>46173</v>
      </c>
      <c r="D47" s="4">
        <f t="shared" si="5"/>
        <v>2696.1556783034484</v>
      </c>
      <c r="E47" s="92"/>
      <c r="F47" s="30">
        <f t="shared" si="0"/>
        <v>31</v>
      </c>
      <c r="G47" s="31">
        <f t="shared" si="2"/>
        <v>17.403130898857327</v>
      </c>
      <c r="H47" s="121"/>
      <c r="I47" s="118"/>
    </row>
    <row r="48" spans="2:9" x14ac:dyDescent="0.25">
      <c r="B48" s="39">
        <f t="shared" si="3"/>
        <v>46174</v>
      </c>
      <c r="C48" s="39" t="str">
        <f t="shared" si="1"/>
        <v>June 15, 2026</v>
      </c>
      <c r="D48" s="4">
        <f t="shared" si="5"/>
        <v>2713.5588092023058</v>
      </c>
      <c r="E48" s="92"/>
      <c r="F48" s="30">
        <f t="shared" si="0"/>
        <v>15</v>
      </c>
      <c r="G48" s="31">
        <f t="shared" si="2"/>
        <v>8.4752247739469286</v>
      </c>
      <c r="H48" s="121"/>
      <c r="I48" s="118"/>
    </row>
    <row r="49" spans="2:9" x14ac:dyDescent="0.25">
      <c r="B49" s="39">
        <f t="shared" si="3"/>
        <v>46189</v>
      </c>
      <c r="C49" s="39">
        <f t="shared" si="1"/>
        <v>46203</v>
      </c>
      <c r="D49" s="4">
        <f t="shared" si="5"/>
        <v>2722.0340339762529</v>
      </c>
      <c r="E49" s="92"/>
      <c r="F49" s="30">
        <f t="shared" si="0"/>
        <v>15</v>
      </c>
      <c r="G49" s="31">
        <f t="shared" si="2"/>
        <v>8.5016953389943239</v>
      </c>
      <c r="H49" s="121">
        <f>H36-H37</f>
        <v>2512.5</v>
      </c>
      <c r="I49" s="118">
        <v>1</v>
      </c>
    </row>
    <row r="50" spans="2:9" x14ac:dyDescent="0.25">
      <c r="B50" s="39">
        <f t="shared" si="3"/>
        <v>46204</v>
      </c>
      <c r="C50" s="39">
        <f t="shared" si="1"/>
        <v>46234</v>
      </c>
      <c r="D50" s="4">
        <f t="shared" si="5"/>
        <v>2730.5357293152474</v>
      </c>
      <c r="E50" s="127">
        <f>SUM(G37:G50)+(H50)</f>
        <v>2730.535729315247</v>
      </c>
      <c r="F50" s="30"/>
      <c r="G50" s="31">
        <f t="shared" si="2"/>
        <v>0</v>
      </c>
      <c r="H50" s="121">
        <f>H49*I49</f>
        <v>2512.5</v>
      </c>
      <c r="I50" s="118"/>
    </row>
    <row r="51" spans="2:9" x14ac:dyDescent="0.25">
      <c r="B51" s="39"/>
      <c r="C51" s="39"/>
      <c r="D51" s="4"/>
      <c r="F51" s="30"/>
      <c r="G51" s="31"/>
      <c r="H51" s="54"/>
      <c r="I51" s="119"/>
    </row>
    <row r="52" spans="2:9" x14ac:dyDescent="0.25">
      <c r="B52" s="39"/>
      <c r="C52" s="39"/>
      <c r="D52" s="4"/>
      <c r="F52" s="30"/>
      <c r="G52" s="31"/>
      <c r="H52" s="54"/>
      <c r="I52" s="119"/>
    </row>
    <row r="53" spans="2:9" x14ac:dyDescent="0.25">
      <c r="B53" s="39"/>
      <c r="C53" s="39"/>
      <c r="D53" s="4"/>
      <c r="F53" s="30"/>
      <c r="G53" s="31"/>
      <c r="H53" s="54"/>
      <c r="I53" s="119"/>
    </row>
    <row r="54" spans="2:9" x14ac:dyDescent="0.25">
      <c r="B54" s="39"/>
      <c r="C54" s="39"/>
      <c r="D54" s="4"/>
      <c r="F54" s="30"/>
      <c r="G54" s="31"/>
      <c r="H54" s="54"/>
      <c r="I54" s="119"/>
    </row>
    <row r="55" spans="2:9" x14ac:dyDescent="0.25">
      <c r="B55" s="39"/>
      <c r="C55" s="39"/>
      <c r="D55" s="4"/>
      <c r="F55" s="30"/>
      <c r="G55" s="31"/>
      <c r="H55" s="54"/>
      <c r="I55" s="119"/>
    </row>
    <row r="56" spans="2:9" x14ac:dyDescent="0.25">
      <c r="B56" s="39"/>
      <c r="C56" s="39"/>
      <c r="D56" s="4"/>
      <c r="F56" s="30"/>
      <c r="G56" s="31"/>
      <c r="H56" s="54"/>
      <c r="I56" s="119"/>
    </row>
    <row r="57" spans="2:9" x14ac:dyDescent="0.25">
      <c r="B57" s="39"/>
      <c r="C57" s="39"/>
      <c r="D57" s="4"/>
      <c r="F57" s="30"/>
      <c r="G57" s="31"/>
      <c r="H57" s="54"/>
      <c r="I57" s="119"/>
    </row>
    <row r="58" spans="2:9" x14ac:dyDescent="0.25">
      <c r="B58" s="39"/>
      <c r="C58" s="39"/>
      <c r="D58" s="4"/>
      <c r="F58" s="30"/>
      <c r="G58" s="31"/>
      <c r="H58" s="54"/>
      <c r="I58" s="119"/>
    </row>
    <row r="59" spans="2:9" x14ac:dyDescent="0.25">
      <c r="B59" s="39"/>
      <c r="C59" s="39"/>
      <c r="D59" s="4"/>
      <c r="F59" s="30"/>
      <c r="G59" s="31"/>
      <c r="H59" s="54"/>
      <c r="I59" s="119"/>
    </row>
    <row r="60" spans="2:9" x14ac:dyDescent="0.25">
      <c r="B60" s="39"/>
      <c r="C60" s="39"/>
      <c r="D60" s="4"/>
      <c r="F60" s="30"/>
      <c r="G60" s="31"/>
      <c r="H60" s="54"/>
      <c r="I60" s="119"/>
    </row>
    <row r="61" spans="2:9" x14ac:dyDescent="0.25">
      <c r="B61" s="39"/>
      <c r="C61" s="39"/>
      <c r="D61" s="4"/>
      <c r="F61" s="30"/>
      <c r="G61" s="31"/>
      <c r="H61" s="54"/>
      <c r="I61" s="119"/>
    </row>
    <row r="62" spans="2:9" x14ac:dyDescent="0.25">
      <c r="B62" s="39"/>
      <c r="C62" s="39"/>
      <c r="D62" s="4"/>
      <c r="F62" s="30"/>
      <c r="G62" s="31"/>
      <c r="H62" s="54"/>
      <c r="I62" s="119"/>
    </row>
    <row r="63" spans="2:9" x14ac:dyDescent="0.25">
      <c r="B63" s="39"/>
      <c r="C63" s="39"/>
      <c r="D63" s="4"/>
      <c r="F63" s="30"/>
      <c r="G63" s="31"/>
      <c r="H63" s="54"/>
      <c r="I63" s="119"/>
    </row>
    <row r="64" spans="2:9" x14ac:dyDescent="0.25">
      <c r="B64" s="39"/>
      <c r="C64" s="39"/>
      <c r="D64" s="4"/>
      <c r="F64" s="30"/>
      <c r="G64" s="31"/>
      <c r="H64" s="54"/>
      <c r="I64" s="119"/>
    </row>
    <row r="65" spans="2:9" x14ac:dyDescent="0.25">
      <c r="B65" s="39"/>
      <c r="C65" s="39"/>
      <c r="D65" s="4"/>
      <c r="F65" s="30"/>
      <c r="G65" s="31"/>
      <c r="H65" s="54"/>
      <c r="I65" s="119"/>
    </row>
    <row r="66" spans="2:9" x14ac:dyDescent="0.25">
      <c r="B66" s="39"/>
      <c r="C66" s="39"/>
      <c r="D66" s="4"/>
      <c r="E66" s="92"/>
      <c r="F66" s="30"/>
      <c r="G66" s="31"/>
      <c r="H66" s="121"/>
      <c r="I66" s="118"/>
    </row>
    <row r="67" spans="2:9" s="32" customFormat="1" x14ac:dyDescent="0.25">
      <c r="B67" s="112" t="s">
        <v>14</v>
      </c>
      <c r="C67" s="112"/>
      <c r="D67" s="17"/>
      <c r="E67" s="94"/>
      <c r="F67" s="34"/>
      <c r="G67" s="31"/>
      <c r="H67" s="101"/>
      <c r="I67" s="103"/>
    </row>
    <row r="69" spans="2:9" x14ac:dyDescent="0.25">
      <c r="B69" s="22" t="s">
        <v>12</v>
      </c>
      <c r="C69" s="36">
        <f>SUM(F9:F66)</f>
        <v>1126</v>
      </c>
      <c r="D69" s="37">
        <f>C69/365</f>
        <v>3.0849315068493151</v>
      </c>
      <c r="E69" s="37">
        <f>D69*12</f>
        <v>37.019178082191779</v>
      </c>
    </row>
    <row r="70" spans="2:9" x14ac:dyDescent="0.25">
      <c r="B70" s="22" t="s">
        <v>13</v>
      </c>
      <c r="C70" s="79">
        <f>SUM(G9:G66)</f>
        <v>1307.2433009999409</v>
      </c>
    </row>
    <row r="71" spans="2:9" x14ac:dyDescent="0.25">
      <c r="B71" s="22" t="s">
        <v>16</v>
      </c>
      <c r="C71" s="24">
        <f>C70+C5</f>
        <v>11307.24330099994</v>
      </c>
    </row>
    <row r="72" spans="2:9" x14ac:dyDescent="0.25">
      <c r="B72" s="22" t="s">
        <v>17</v>
      </c>
      <c r="C72" s="25">
        <f>EFFECT(F5,E69)</f>
        <v>7.8878475179250174E-2</v>
      </c>
    </row>
    <row r="73" spans="2:9" ht="15.75" thickBot="1" x14ac:dyDescent="0.3">
      <c r="C73" s="37"/>
    </row>
    <row r="74" spans="2:9" x14ac:dyDescent="0.25">
      <c r="B74" s="63" t="s">
        <v>20</v>
      </c>
      <c r="C74" s="88">
        <f>C5</f>
        <v>10000</v>
      </c>
      <c r="D74" s="64"/>
      <c r="E74" s="90" t="s">
        <v>23</v>
      </c>
      <c r="F74" s="91">
        <f>SUM(G9:G66)</f>
        <v>1307.2433009999409</v>
      </c>
    </row>
    <row r="75" spans="2:9" x14ac:dyDescent="0.25">
      <c r="B75" s="43"/>
      <c r="E75" s="87"/>
      <c r="F75" s="45"/>
    </row>
    <row r="76" spans="2:9" ht="15.75" thickBot="1" x14ac:dyDescent="0.3">
      <c r="B76" s="43" t="s">
        <v>21</v>
      </c>
      <c r="C76" s="86">
        <f>H11+H24+H37+H50</f>
        <v>10000</v>
      </c>
      <c r="E76" s="87" t="s">
        <v>24</v>
      </c>
      <c r="F76" s="46">
        <f>(E11-H11)+(E24-H24)+(E37-H37)+(+E50-H50)</f>
        <v>1307.2433009999409</v>
      </c>
    </row>
    <row r="77" spans="2:9" ht="15.75" thickTop="1" x14ac:dyDescent="0.25">
      <c r="B77" s="43"/>
      <c r="F77" s="45"/>
    </row>
    <row r="78" spans="2:9" x14ac:dyDescent="0.25">
      <c r="B78" s="43" t="s">
        <v>22</v>
      </c>
      <c r="C78" s="47">
        <f>C74-C76</f>
        <v>0</v>
      </c>
      <c r="E78" s="87" t="s">
        <v>25</v>
      </c>
      <c r="F78" s="44">
        <f>F74-F76</f>
        <v>0</v>
      </c>
    </row>
    <row r="79" spans="2:9" ht="15.75" thickBot="1" x14ac:dyDescent="0.3">
      <c r="B79" s="48"/>
      <c r="C79" s="49"/>
      <c r="D79" s="49"/>
      <c r="E79" s="49"/>
      <c r="F79" s="50"/>
    </row>
  </sheetData>
  <pageMargins left="0.7" right="0.7" top="0.75" bottom="0.75" header="0.3" footer="0.3"/>
  <pageSetup scale="46" fitToWidth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F8225-1CF9-4CD4-A4D3-25A10A7CB520}">
  <sheetPr>
    <tabColor rgb="FF00B050"/>
    <pageSetUpPr fitToPage="1"/>
  </sheetPr>
  <dimension ref="A1:M66"/>
  <sheetViews>
    <sheetView zoomScaleNormal="100" workbookViewId="0">
      <selection activeCell="B55" sqref="B55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1.85546875" style="22" customWidth="1"/>
    <col min="9" max="9" width="16.42578125" style="70" customWidth="1"/>
    <col min="10" max="10" width="15.5703125" style="22" hidden="1" customWidth="1"/>
    <col min="11" max="11" width="9.140625" style="22" hidden="1" customWidth="1"/>
    <col min="12" max="12" width="10.7109375" style="22" bestFit="1" customWidth="1"/>
    <col min="13" max="16384" width="9.140625" style="22"/>
  </cols>
  <sheetData>
    <row r="1" spans="1:13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7"/>
    </row>
    <row r="2" spans="1:13" ht="23.25" x14ac:dyDescent="0.35">
      <c r="A2" s="21"/>
      <c r="B2" s="113" t="s">
        <v>34</v>
      </c>
      <c r="C2" s="113"/>
      <c r="D2" s="113"/>
      <c r="E2" s="113"/>
      <c r="F2" s="113"/>
      <c r="G2" s="113"/>
      <c r="H2" s="113"/>
      <c r="I2" s="117"/>
      <c r="J2" s="47">
        <f>$C$5*K2</f>
        <v>0</v>
      </c>
      <c r="K2" s="83">
        <v>0</v>
      </c>
    </row>
    <row r="3" spans="1:13" x14ac:dyDescent="0.25">
      <c r="J3" s="47">
        <f>($C$5-$J$2)*K3</f>
        <v>2500</v>
      </c>
      <c r="K3" s="83">
        <v>0.25</v>
      </c>
    </row>
    <row r="4" spans="1:13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  <c r="J4" s="47">
        <f>($C$5-$J$2-$J$3)*K4</f>
        <v>2499.9999999975003</v>
      </c>
      <c r="K4" s="83">
        <v>0.33333333333300003</v>
      </c>
      <c r="L4" s="22"/>
      <c r="M4" s="22"/>
    </row>
    <row r="5" spans="1:13" x14ac:dyDescent="0.25">
      <c r="B5" s="72">
        <v>45352</v>
      </c>
      <c r="C5" s="20">
        <v>10000</v>
      </c>
      <c r="D5" s="24">
        <f>C5/4</f>
        <v>2500</v>
      </c>
      <c r="E5" s="25">
        <v>7.1999999999999995E-2</v>
      </c>
      <c r="F5" s="98">
        <f>E5+0.009</f>
        <v>8.0999999999999989E-2</v>
      </c>
      <c r="G5" s="25">
        <f>F5/366</f>
        <v>2.2131147540983603E-4</v>
      </c>
      <c r="J5" s="47">
        <f>($C$5-$J$2-$J$3-$J$4)*K5</f>
        <v>2500.0000000012496</v>
      </c>
      <c r="K5" s="83">
        <v>0.5</v>
      </c>
    </row>
    <row r="6" spans="1:13" x14ac:dyDescent="0.25">
      <c r="B6" s="32" t="s">
        <v>41</v>
      </c>
      <c r="C6" s="79"/>
      <c r="D6" s="24"/>
      <c r="E6" s="25"/>
      <c r="F6" s="25"/>
      <c r="G6" s="25"/>
      <c r="J6" s="47">
        <f>($C$5-$J$2-$J$3-$J$4-$J$5)*K6</f>
        <v>2500.0000000012496</v>
      </c>
      <c r="K6" s="83">
        <v>1</v>
      </c>
    </row>
    <row r="7" spans="1:13" x14ac:dyDescent="0.25">
      <c r="C7" s="26"/>
      <c r="E7" s="93"/>
      <c r="F7" s="67"/>
      <c r="G7" s="25"/>
      <c r="J7" s="47">
        <f>($C$5-$J$2-$J$3-$J$4-$J$5-$J$6)*K7</f>
        <v>0</v>
      </c>
      <c r="K7" s="83">
        <v>0</v>
      </c>
    </row>
    <row r="8" spans="1:13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09" t="s">
        <v>19</v>
      </c>
      <c r="L8" s="22"/>
      <c r="M8" s="22"/>
    </row>
    <row r="9" spans="1:13" x14ac:dyDescent="0.25">
      <c r="B9" s="39">
        <f>B5</f>
        <v>45352</v>
      </c>
      <c r="C9" s="39">
        <f>EOMONTH(B9,0)</f>
        <v>45382</v>
      </c>
      <c r="D9" s="4">
        <f>C5</f>
        <v>10000</v>
      </c>
      <c r="E9" s="92"/>
      <c r="F9" s="30">
        <f t="shared" ref="F9:F51" si="0">C9-B9+1</f>
        <v>31</v>
      </c>
      <c r="G9" s="31">
        <f>$G$5*F9*D9</f>
        <v>68.606557377049171</v>
      </c>
      <c r="H9" s="121"/>
      <c r="I9" s="118"/>
    </row>
    <row r="10" spans="1:13" x14ac:dyDescent="0.25">
      <c r="B10" s="39">
        <f>C9+1</f>
        <v>45383</v>
      </c>
      <c r="C10" s="39">
        <f>EOMONTH(B10,0)</f>
        <v>45412</v>
      </c>
      <c r="D10" s="4">
        <f>D9+G9-E9</f>
        <v>10068.606557377048</v>
      </c>
      <c r="E10" s="127"/>
      <c r="F10" s="30">
        <f t="shared" si="0"/>
        <v>30</v>
      </c>
      <c r="G10" s="31">
        <f t="shared" ref="G10:G52" si="1">$G$5*F10*D10</f>
        <v>66.848945176027925</v>
      </c>
      <c r="H10" s="121"/>
      <c r="I10" s="118"/>
    </row>
    <row r="11" spans="1:13" x14ac:dyDescent="0.25">
      <c r="B11" s="39">
        <f t="shared" ref="B11:B50" si="2">C10+1</f>
        <v>45413</v>
      </c>
      <c r="C11" s="39">
        <f t="shared" ref="C11:C50" si="3">EOMONTH(B11,0)</f>
        <v>45443</v>
      </c>
      <c r="D11" s="4">
        <f t="shared" ref="D11" si="4">D10+G10-E10</f>
        <v>10135.455502553077</v>
      </c>
      <c r="E11" s="92"/>
      <c r="F11" s="30">
        <f t="shared" si="0"/>
        <v>31</v>
      </c>
      <c r="G11" s="31">
        <f t="shared" si="1"/>
        <v>69.535870947843648</v>
      </c>
      <c r="H11" s="121">
        <f>$C$5</f>
        <v>10000</v>
      </c>
      <c r="I11" s="118">
        <v>0.25</v>
      </c>
    </row>
    <row r="12" spans="1:13" x14ac:dyDescent="0.25">
      <c r="B12" s="39">
        <f t="shared" si="2"/>
        <v>45444</v>
      </c>
      <c r="C12" s="39">
        <f>B12+14</f>
        <v>45458</v>
      </c>
      <c r="D12" s="4">
        <f>D11+G11-E11</f>
        <v>10204.991373500921</v>
      </c>
      <c r="E12" s="127">
        <f>SUM($G$9:G12)+(H12)</f>
        <v>2738.8685989621326</v>
      </c>
      <c r="F12" s="30">
        <f t="shared" si="0"/>
        <v>15</v>
      </c>
      <c r="G12" s="31">
        <f t="shared" si="1"/>
        <v>33.87722546121207</v>
      </c>
      <c r="H12" s="121">
        <f>H11*I11</f>
        <v>2500</v>
      </c>
      <c r="I12" s="118"/>
    </row>
    <row r="13" spans="1:13" x14ac:dyDescent="0.25">
      <c r="B13" s="39">
        <f t="shared" si="2"/>
        <v>45459</v>
      </c>
      <c r="C13" s="39">
        <f t="shared" si="3"/>
        <v>45473</v>
      </c>
      <c r="D13" s="4">
        <f>D12+G12-E12</f>
        <v>7500.0000000000009</v>
      </c>
      <c r="E13" s="92"/>
      <c r="F13" s="30">
        <f t="shared" si="0"/>
        <v>15</v>
      </c>
      <c r="G13" s="31">
        <f t="shared" si="1"/>
        <v>24.897540983606557</v>
      </c>
      <c r="H13" s="121"/>
      <c r="I13" s="118"/>
    </row>
    <row r="14" spans="1:13" x14ac:dyDescent="0.25">
      <c r="B14" s="39">
        <f t="shared" si="2"/>
        <v>45474</v>
      </c>
      <c r="C14" s="39">
        <f t="shared" si="3"/>
        <v>45504</v>
      </c>
      <c r="D14" s="4">
        <f t="shared" ref="D14:D52" si="5">D13+G13-E13</f>
        <v>7524.8975409836075</v>
      </c>
      <c r="E14" s="92"/>
      <c r="F14" s="30">
        <f t="shared" si="0"/>
        <v>31</v>
      </c>
      <c r="G14" s="31">
        <f t="shared" si="1"/>
        <v>51.625731490190809</v>
      </c>
      <c r="H14" s="121"/>
      <c r="I14" s="118"/>
    </row>
    <row r="15" spans="1:13" x14ac:dyDescent="0.25">
      <c r="B15" s="39">
        <f t="shared" si="2"/>
        <v>45505</v>
      </c>
      <c r="C15" s="39">
        <f t="shared" si="3"/>
        <v>45535</v>
      </c>
      <c r="D15" s="4">
        <f t="shared" si="5"/>
        <v>7576.523272473798</v>
      </c>
      <c r="E15" s="92"/>
      <c r="F15" s="30">
        <f t="shared" si="0"/>
        <v>31</v>
      </c>
      <c r="G15" s="31">
        <f t="shared" si="1"/>
        <v>51.979917861152202</v>
      </c>
      <c r="H15" s="121"/>
      <c r="I15" s="118"/>
    </row>
    <row r="16" spans="1:13" x14ac:dyDescent="0.25">
      <c r="B16" s="39">
        <f t="shared" si="2"/>
        <v>45536</v>
      </c>
      <c r="C16" s="39">
        <f t="shared" si="3"/>
        <v>45565</v>
      </c>
      <c r="D16" s="4">
        <f t="shared" si="5"/>
        <v>7628.50319033495</v>
      </c>
      <c r="E16" s="92"/>
      <c r="F16" s="30">
        <f t="shared" si="0"/>
        <v>30</v>
      </c>
      <c r="G16" s="31">
        <f t="shared" si="1"/>
        <v>50.648258886650069</v>
      </c>
      <c r="H16" s="121"/>
      <c r="I16" s="118"/>
    </row>
    <row r="17" spans="2:9" x14ac:dyDescent="0.25">
      <c r="B17" s="39">
        <f t="shared" si="2"/>
        <v>45566</v>
      </c>
      <c r="C17" s="39">
        <f t="shared" si="3"/>
        <v>45596</v>
      </c>
      <c r="D17" s="4">
        <f t="shared" si="5"/>
        <v>7679.1514492216002</v>
      </c>
      <c r="E17" s="92"/>
      <c r="F17" s="30">
        <f t="shared" si="0"/>
        <v>31</v>
      </c>
      <c r="G17" s="31">
        <f t="shared" si="1"/>
        <v>52.684014450807204</v>
      </c>
      <c r="H17" s="121"/>
      <c r="I17" s="118"/>
    </row>
    <row r="18" spans="2:9" x14ac:dyDescent="0.25">
      <c r="B18" s="39">
        <f t="shared" si="2"/>
        <v>45597</v>
      </c>
      <c r="C18" s="39">
        <f t="shared" si="3"/>
        <v>45626</v>
      </c>
      <c r="D18" s="4">
        <f t="shared" si="5"/>
        <v>7731.8354636724071</v>
      </c>
      <c r="E18" s="92"/>
      <c r="F18" s="30">
        <f t="shared" si="0"/>
        <v>30</v>
      </c>
      <c r="G18" s="31">
        <f t="shared" si="1"/>
        <v>51.33431742274302</v>
      </c>
      <c r="H18" s="121"/>
      <c r="I18" s="118"/>
    </row>
    <row r="19" spans="2:9" x14ac:dyDescent="0.25">
      <c r="B19" s="39">
        <f t="shared" si="2"/>
        <v>45627</v>
      </c>
      <c r="C19" s="39">
        <f t="shared" si="3"/>
        <v>45657</v>
      </c>
      <c r="D19" s="4">
        <f t="shared" si="5"/>
        <v>7783.16978109515</v>
      </c>
      <c r="E19" s="92"/>
      <c r="F19" s="30">
        <f t="shared" si="0"/>
        <v>31</v>
      </c>
      <c r="G19" s="31">
        <f t="shared" si="1"/>
        <v>53.397648416201967</v>
      </c>
      <c r="H19" s="121"/>
      <c r="I19" s="118"/>
    </row>
    <row r="20" spans="2:9" x14ac:dyDescent="0.25">
      <c r="B20" s="39">
        <f t="shared" si="2"/>
        <v>45658</v>
      </c>
      <c r="C20" s="39">
        <f t="shared" si="3"/>
        <v>45688</v>
      </c>
      <c r="D20" s="4">
        <f t="shared" si="5"/>
        <v>7836.5674295113522</v>
      </c>
      <c r="E20" s="92"/>
      <c r="F20" s="30">
        <f t="shared" si="0"/>
        <v>31</v>
      </c>
      <c r="G20" s="31">
        <f t="shared" si="1"/>
        <v>53.763991299188532</v>
      </c>
      <c r="H20" s="121"/>
      <c r="I20" s="118"/>
    </row>
    <row r="21" spans="2:9" x14ac:dyDescent="0.25">
      <c r="B21" s="39">
        <f t="shared" si="2"/>
        <v>45689</v>
      </c>
      <c r="C21" s="39">
        <f t="shared" si="3"/>
        <v>45716</v>
      </c>
      <c r="D21" s="4">
        <f t="shared" si="5"/>
        <v>7890.3314208105403</v>
      </c>
      <c r="E21" s="92"/>
      <c r="F21" s="30">
        <f t="shared" si="0"/>
        <v>28</v>
      </c>
      <c r="G21" s="31">
        <f t="shared" si="1"/>
        <v>48.894184869940716</v>
      </c>
      <c r="H21" s="121"/>
      <c r="I21" s="118"/>
    </row>
    <row r="22" spans="2:9" x14ac:dyDescent="0.25">
      <c r="B22" s="39">
        <f t="shared" si="2"/>
        <v>45717</v>
      </c>
      <c r="C22" s="39">
        <f t="shared" si="3"/>
        <v>45747</v>
      </c>
      <c r="D22" s="4">
        <f t="shared" si="5"/>
        <v>7939.2256056804808</v>
      </c>
      <c r="E22" s="92"/>
      <c r="F22" s="30">
        <f t="shared" si="0"/>
        <v>31</v>
      </c>
      <c r="G22" s="31">
        <f t="shared" si="1"/>
        <v>54.468293704545587</v>
      </c>
      <c r="H22" s="121"/>
      <c r="I22" s="118"/>
    </row>
    <row r="23" spans="2:9" x14ac:dyDescent="0.25">
      <c r="B23" s="39">
        <f t="shared" si="2"/>
        <v>45748</v>
      </c>
      <c r="C23" s="39">
        <f t="shared" si="3"/>
        <v>45777</v>
      </c>
      <c r="D23" s="4">
        <f t="shared" si="5"/>
        <v>7993.6938993850263</v>
      </c>
      <c r="E23" s="92"/>
      <c r="F23" s="30">
        <f t="shared" si="0"/>
        <v>30</v>
      </c>
      <c r="G23" s="31">
        <f t="shared" si="1"/>
        <v>53.072885725425166</v>
      </c>
      <c r="H23" s="121"/>
      <c r="I23" s="118"/>
    </row>
    <row r="24" spans="2:9" x14ac:dyDescent="0.25">
      <c r="B24" s="39">
        <f t="shared" si="2"/>
        <v>45778</v>
      </c>
      <c r="C24" s="39">
        <f t="shared" si="3"/>
        <v>45808</v>
      </c>
      <c r="D24" s="4">
        <f t="shared" si="5"/>
        <v>8046.7667851104516</v>
      </c>
      <c r="E24" s="92"/>
      <c r="F24" s="30">
        <f t="shared" si="0"/>
        <v>31</v>
      </c>
      <c r="G24" s="31">
        <f t="shared" si="1"/>
        <v>55.206096714241369</v>
      </c>
      <c r="H24" s="121">
        <f>H11-H12</f>
        <v>7500</v>
      </c>
      <c r="I24" s="118">
        <v>0.33329999999999999</v>
      </c>
    </row>
    <row r="25" spans="2:9" x14ac:dyDescent="0.25">
      <c r="B25" s="39">
        <f t="shared" si="2"/>
        <v>45809</v>
      </c>
      <c r="C25" s="39">
        <f>B25+14</f>
        <v>45823</v>
      </c>
      <c r="D25" s="4">
        <f t="shared" si="5"/>
        <v>8101.9728818246931</v>
      </c>
      <c r="E25" s="127">
        <f>SUM(G13:G25)+(H25)</f>
        <v>3128.6187754077996</v>
      </c>
      <c r="F25" s="30">
        <f t="shared" si="0"/>
        <v>15</v>
      </c>
      <c r="G25" s="31">
        <f t="shared" si="1"/>
        <v>26.89589358310656</v>
      </c>
      <c r="H25" s="121">
        <f>H24*I24</f>
        <v>2499.75</v>
      </c>
      <c r="I25" s="118"/>
    </row>
    <row r="26" spans="2:9" x14ac:dyDescent="0.25">
      <c r="B26" s="39">
        <f t="shared" si="2"/>
        <v>45824</v>
      </c>
      <c r="C26" s="39">
        <f t="shared" si="3"/>
        <v>45838</v>
      </c>
      <c r="D26" s="4">
        <f t="shared" si="5"/>
        <v>5000.25</v>
      </c>
      <c r="E26" s="92"/>
      <c r="F26" s="30">
        <f t="shared" si="0"/>
        <v>15</v>
      </c>
      <c r="G26" s="31">
        <f t="shared" si="1"/>
        <v>16.599190573770489</v>
      </c>
      <c r="H26" s="121"/>
      <c r="I26" s="118"/>
    </row>
    <row r="27" spans="2:9" x14ac:dyDescent="0.25">
      <c r="B27" s="39">
        <f t="shared" si="2"/>
        <v>45839</v>
      </c>
      <c r="C27" s="39">
        <f t="shared" si="3"/>
        <v>45869</v>
      </c>
      <c r="D27" s="4">
        <f t="shared" si="5"/>
        <v>5016.8491905737701</v>
      </c>
      <c r="E27" s="92"/>
      <c r="F27" s="30">
        <f t="shared" si="0"/>
        <v>31</v>
      </c>
      <c r="G27" s="31">
        <f t="shared" si="1"/>
        <v>34.418875184510206</v>
      </c>
      <c r="H27" s="121"/>
      <c r="I27" s="118"/>
    </row>
    <row r="28" spans="2:9" x14ac:dyDescent="0.25">
      <c r="B28" s="39">
        <f t="shared" si="2"/>
        <v>45870</v>
      </c>
      <c r="C28" s="39">
        <f t="shared" si="3"/>
        <v>45900</v>
      </c>
      <c r="D28" s="4">
        <f t="shared" si="5"/>
        <v>5051.2680657582805</v>
      </c>
      <c r="E28" s="92"/>
      <c r="F28" s="30">
        <f t="shared" si="0"/>
        <v>31</v>
      </c>
      <c r="G28" s="31">
        <f t="shared" si="1"/>
        <v>34.65501123803017</v>
      </c>
      <c r="H28" s="121"/>
      <c r="I28" s="118"/>
    </row>
    <row r="29" spans="2:9" x14ac:dyDescent="0.25">
      <c r="B29" s="39">
        <f t="shared" si="2"/>
        <v>45901</v>
      </c>
      <c r="C29" s="39">
        <f t="shared" si="3"/>
        <v>45930</v>
      </c>
      <c r="D29" s="4">
        <f t="shared" si="5"/>
        <v>5085.9230769963106</v>
      </c>
      <c r="E29" s="92"/>
      <c r="F29" s="30">
        <f t="shared" si="0"/>
        <v>30</v>
      </c>
      <c r="G29" s="31">
        <f t="shared" si="1"/>
        <v>33.767194199729595</v>
      </c>
      <c r="H29" s="121"/>
      <c r="I29" s="118"/>
    </row>
    <row r="30" spans="2:9" x14ac:dyDescent="0.25">
      <c r="B30" s="39">
        <f t="shared" si="2"/>
        <v>45931</v>
      </c>
      <c r="C30" s="39">
        <f t="shared" si="3"/>
        <v>45961</v>
      </c>
      <c r="D30" s="4">
        <f t="shared" si="5"/>
        <v>5119.6902711960402</v>
      </c>
      <c r="E30" s="92"/>
      <c r="F30" s="30">
        <f t="shared" si="0"/>
        <v>31</v>
      </c>
      <c r="G30" s="31">
        <f t="shared" si="1"/>
        <v>35.12443243435316</v>
      </c>
      <c r="H30" s="121"/>
      <c r="I30" s="118"/>
    </row>
    <row r="31" spans="2:9" x14ac:dyDescent="0.25">
      <c r="B31" s="39">
        <f t="shared" si="2"/>
        <v>45962</v>
      </c>
      <c r="C31" s="39">
        <f t="shared" si="3"/>
        <v>45991</v>
      </c>
      <c r="D31" s="4">
        <f t="shared" si="5"/>
        <v>5154.8147036303935</v>
      </c>
      <c r="E31" s="92"/>
      <c r="F31" s="30">
        <f t="shared" si="0"/>
        <v>30</v>
      </c>
      <c r="G31" s="31">
        <f t="shared" si="1"/>
        <v>34.224589425742771</v>
      </c>
      <c r="H31" s="121"/>
      <c r="I31" s="118"/>
    </row>
    <row r="32" spans="2:9" x14ac:dyDescent="0.25">
      <c r="B32" s="39">
        <f t="shared" si="2"/>
        <v>45992</v>
      </c>
      <c r="C32" s="39">
        <f t="shared" si="3"/>
        <v>46022</v>
      </c>
      <c r="D32" s="4">
        <f t="shared" si="5"/>
        <v>5189.0392930561366</v>
      </c>
      <c r="E32" s="92"/>
      <c r="F32" s="30">
        <f t="shared" si="0"/>
        <v>31</v>
      </c>
      <c r="G32" s="31">
        <f t="shared" si="1"/>
        <v>35.600212199081852</v>
      </c>
      <c r="H32" s="121"/>
      <c r="I32" s="118"/>
    </row>
    <row r="33" spans="2:9" x14ac:dyDescent="0.25">
      <c r="B33" s="39">
        <f t="shared" si="2"/>
        <v>46023</v>
      </c>
      <c r="C33" s="39">
        <f t="shared" si="3"/>
        <v>46053</v>
      </c>
      <c r="D33" s="4">
        <f t="shared" si="5"/>
        <v>5224.639505255218</v>
      </c>
      <c r="E33" s="92"/>
      <c r="F33" s="30">
        <f t="shared" si="0"/>
        <v>31</v>
      </c>
      <c r="G33" s="31">
        <f t="shared" si="1"/>
        <v>35.844452999168993</v>
      </c>
      <c r="H33" s="121"/>
      <c r="I33" s="118"/>
    </row>
    <row r="34" spans="2:9" x14ac:dyDescent="0.25">
      <c r="B34" s="39">
        <f t="shared" si="2"/>
        <v>46054</v>
      </c>
      <c r="C34" s="39">
        <f t="shared" si="3"/>
        <v>46081</v>
      </c>
      <c r="D34" s="4">
        <f t="shared" si="5"/>
        <v>5260.4839582543873</v>
      </c>
      <c r="E34" s="92"/>
      <c r="F34" s="30">
        <f t="shared" si="0"/>
        <v>28</v>
      </c>
      <c r="G34" s="31">
        <f t="shared" si="1"/>
        <v>32.597753052789471</v>
      </c>
      <c r="H34" s="121"/>
      <c r="I34" s="118"/>
    </row>
    <row r="35" spans="2:9" x14ac:dyDescent="0.25">
      <c r="B35" s="39">
        <f t="shared" si="2"/>
        <v>46082</v>
      </c>
      <c r="C35" s="39">
        <f t="shared" si="3"/>
        <v>46112</v>
      </c>
      <c r="D35" s="4">
        <f t="shared" si="5"/>
        <v>5293.0817113071771</v>
      </c>
      <c r="E35" s="92"/>
      <c r="F35" s="30">
        <f t="shared" si="0"/>
        <v>31</v>
      </c>
      <c r="G35" s="31">
        <f t="shared" si="1"/>
        <v>36.314011412820548</v>
      </c>
      <c r="H35" s="121"/>
      <c r="I35" s="118"/>
    </row>
    <row r="36" spans="2:9" x14ac:dyDescent="0.25">
      <c r="B36" s="39">
        <f t="shared" si="2"/>
        <v>46113</v>
      </c>
      <c r="C36" s="39">
        <f t="shared" si="3"/>
        <v>46142</v>
      </c>
      <c r="D36" s="4">
        <f t="shared" si="5"/>
        <v>5329.395722719998</v>
      </c>
      <c r="E36" s="92"/>
      <c r="F36" s="30">
        <f t="shared" si="0"/>
        <v>30</v>
      </c>
      <c r="G36" s="31">
        <f t="shared" si="1"/>
        <v>35.383692913140962</v>
      </c>
      <c r="H36" s="121"/>
      <c r="I36" s="118"/>
    </row>
    <row r="37" spans="2:9" x14ac:dyDescent="0.25">
      <c r="B37" s="39">
        <f t="shared" si="2"/>
        <v>46143</v>
      </c>
      <c r="C37" s="39">
        <f t="shared" si="3"/>
        <v>46173</v>
      </c>
      <c r="D37" s="4">
        <f t="shared" si="5"/>
        <v>5364.7794156331393</v>
      </c>
      <c r="E37" s="92"/>
      <c r="F37" s="30">
        <f t="shared" si="0"/>
        <v>31</v>
      </c>
      <c r="G37" s="31">
        <f t="shared" si="1"/>
        <v>36.805904679384732</v>
      </c>
      <c r="H37" s="121">
        <f>H24-H25</f>
        <v>5000.25</v>
      </c>
      <c r="I37" s="118">
        <v>0.5</v>
      </c>
    </row>
    <row r="38" spans="2:9" x14ac:dyDescent="0.25">
      <c r="B38" s="39">
        <f t="shared" si="2"/>
        <v>46174</v>
      </c>
      <c r="C38" s="39">
        <f>B38+14</f>
        <v>46188</v>
      </c>
      <c r="D38" s="4">
        <f t="shared" si="5"/>
        <v>5401.5853203125243</v>
      </c>
      <c r="E38" s="127">
        <f>SUM(G26:G38)+(H38)</f>
        <v>2919.3918125643804</v>
      </c>
      <c r="F38" s="30">
        <f t="shared" si="0"/>
        <v>15</v>
      </c>
      <c r="G38" s="31">
        <f t="shared" si="1"/>
        <v>17.931492251857147</v>
      </c>
      <c r="H38" s="121">
        <f>H37*I37</f>
        <v>2500.125</v>
      </c>
      <c r="I38" s="118"/>
    </row>
    <row r="39" spans="2:9" x14ac:dyDescent="0.25">
      <c r="B39" s="39">
        <f t="shared" si="2"/>
        <v>46189</v>
      </c>
      <c r="C39" s="39">
        <f t="shared" si="3"/>
        <v>46203</v>
      </c>
      <c r="D39" s="4">
        <f t="shared" si="5"/>
        <v>2500.1250000000009</v>
      </c>
      <c r="E39" s="54"/>
      <c r="F39" s="30">
        <f t="shared" si="0"/>
        <v>15</v>
      </c>
      <c r="G39" s="31">
        <f t="shared" si="1"/>
        <v>8.2995952868852481</v>
      </c>
      <c r="H39" s="54"/>
      <c r="I39" s="119"/>
    </row>
    <row r="40" spans="2:9" x14ac:dyDescent="0.25">
      <c r="B40" s="39">
        <f t="shared" si="2"/>
        <v>46204</v>
      </c>
      <c r="C40" s="39">
        <f t="shared" si="3"/>
        <v>46234</v>
      </c>
      <c r="D40" s="4">
        <f t="shared" si="5"/>
        <v>2508.424595286886</v>
      </c>
      <c r="E40" s="54"/>
      <c r="F40" s="30">
        <f t="shared" si="0"/>
        <v>31</v>
      </c>
      <c r="G40" s="31">
        <f t="shared" si="1"/>
        <v>17.20943759225511</v>
      </c>
      <c r="H40" s="54"/>
      <c r="I40" s="119"/>
    </row>
    <row r="41" spans="2:9" x14ac:dyDescent="0.25">
      <c r="B41" s="39">
        <f t="shared" si="2"/>
        <v>46235</v>
      </c>
      <c r="C41" s="39">
        <f t="shared" si="3"/>
        <v>46265</v>
      </c>
      <c r="D41" s="4">
        <f t="shared" si="5"/>
        <v>2525.6340328791412</v>
      </c>
      <c r="E41" s="54"/>
      <c r="F41" s="30">
        <f t="shared" si="0"/>
        <v>31</v>
      </c>
      <c r="G41" s="31">
        <f t="shared" si="1"/>
        <v>17.327505619015088</v>
      </c>
      <c r="H41" s="54"/>
      <c r="I41" s="119"/>
    </row>
    <row r="42" spans="2:9" x14ac:dyDescent="0.25">
      <c r="B42" s="39">
        <f t="shared" si="2"/>
        <v>46266</v>
      </c>
      <c r="C42" s="39">
        <f t="shared" si="3"/>
        <v>46295</v>
      </c>
      <c r="D42" s="4">
        <f t="shared" si="5"/>
        <v>2542.9615384981562</v>
      </c>
      <c r="E42" s="54"/>
      <c r="F42" s="30">
        <f t="shared" si="0"/>
        <v>30</v>
      </c>
      <c r="G42" s="31">
        <f t="shared" si="1"/>
        <v>16.883597099864804</v>
      </c>
      <c r="H42" s="54"/>
      <c r="I42" s="119"/>
    </row>
    <row r="43" spans="2:9" x14ac:dyDescent="0.25">
      <c r="B43" s="39">
        <f t="shared" si="2"/>
        <v>46296</v>
      </c>
      <c r="C43" s="39">
        <f t="shared" si="3"/>
        <v>46326</v>
      </c>
      <c r="D43" s="4">
        <f t="shared" si="5"/>
        <v>2559.845135598021</v>
      </c>
      <c r="E43" s="54"/>
      <c r="F43" s="30">
        <f t="shared" si="0"/>
        <v>31</v>
      </c>
      <c r="G43" s="31">
        <f t="shared" si="1"/>
        <v>17.562216217176584</v>
      </c>
      <c r="H43" s="54"/>
      <c r="I43" s="119"/>
    </row>
    <row r="44" spans="2:9" x14ac:dyDescent="0.25">
      <c r="B44" s="39">
        <f t="shared" si="2"/>
        <v>46327</v>
      </c>
      <c r="C44" s="39">
        <f t="shared" si="3"/>
        <v>46356</v>
      </c>
      <c r="D44" s="4">
        <f t="shared" si="5"/>
        <v>2577.4073518151977</v>
      </c>
      <c r="E44" s="54"/>
      <c r="F44" s="30">
        <f t="shared" si="0"/>
        <v>30</v>
      </c>
      <c r="G44" s="31">
        <f t="shared" si="1"/>
        <v>17.112294712871392</v>
      </c>
      <c r="H44" s="54"/>
      <c r="I44" s="119"/>
    </row>
    <row r="45" spans="2:9" x14ac:dyDescent="0.25">
      <c r="B45" s="39">
        <f t="shared" si="2"/>
        <v>46357</v>
      </c>
      <c r="C45" s="39">
        <f t="shared" si="3"/>
        <v>46387</v>
      </c>
      <c r="D45" s="4">
        <f t="shared" si="5"/>
        <v>2594.5196465280692</v>
      </c>
      <c r="E45" s="54"/>
      <c r="F45" s="30">
        <f t="shared" si="0"/>
        <v>31</v>
      </c>
      <c r="G45" s="31">
        <f t="shared" si="1"/>
        <v>17.800106099540933</v>
      </c>
      <c r="H45" s="54"/>
      <c r="I45" s="119"/>
    </row>
    <row r="46" spans="2:9" x14ac:dyDescent="0.25">
      <c r="B46" s="39">
        <f t="shared" si="2"/>
        <v>46388</v>
      </c>
      <c r="C46" s="39">
        <f t="shared" si="3"/>
        <v>46418</v>
      </c>
      <c r="D46" s="4">
        <f t="shared" si="5"/>
        <v>2612.3197526276103</v>
      </c>
      <c r="E46" s="54"/>
      <c r="F46" s="30">
        <f t="shared" si="0"/>
        <v>31</v>
      </c>
      <c r="G46" s="31">
        <f t="shared" si="1"/>
        <v>17.922226499584504</v>
      </c>
      <c r="H46" s="54"/>
      <c r="I46" s="119"/>
    </row>
    <row r="47" spans="2:9" x14ac:dyDescent="0.25">
      <c r="B47" s="39">
        <f t="shared" si="2"/>
        <v>46419</v>
      </c>
      <c r="C47" s="39">
        <f t="shared" si="3"/>
        <v>46446</v>
      </c>
      <c r="D47" s="4">
        <f t="shared" si="5"/>
        <v>2630.241979127195</v>
      </c>
      <c r="E47" s="54"/>
      <c r="F47" s="30">
        <f t="shared" si="0"/>
        <v>28</v>
      </c>
      <c r="G47" s="31">
        <f t="shared" si="1"/>
        <v>16.298876526394746</v>
      </c>
      <c r="H47" s="54"/>
      <c r="I47" s="119"/>
    </row>
    <row r="48" spans="2:9" x14ac:dyDescent="0.25">
      <c r="B48" s="39">
        <f t="shared" si="2"/>
        <v>46447</v>
      </c>
      <c r="C48" s="39">
        <f t="shared" si="3"/>
        <v>46477</v>
      </c>
      <c r="D48" s="4">
        <f t="shared" si="5"/>
        <v>2646.5408556535899</v>
      </c>
      <c r="E48" s="54"/>
      <c r="F48" s="30">
        <f t="shared" si="0"/>
        <v>31</v>
      </c>
      <c r="G48" s="31">
        <f t="shared" si="1"/>
        <v>18.157005706410285</v>
      </c>
      <c r="H48" s="54"/>
      <c r="I48" s="119"/>
    </row>
    <row r="49" spans="2:9" x14ac:dyDescent="0.25">
      <c r="B49" s="39">
        <f t="shared" si="2"/>
        <v>46478</v>
      </c>
      <c r="C49" s="39">
        <f t="shared" si="3"/>
        <v>46507</v>
      </c>
      <c r="D49" s="4">
        <f t="shared" si="5"/>
        <v>2664.6978613600004</v>
      </c>
      <c r="E49" s="54"/>
      <c r="F49" s="30">
        <f t="shared" si="0"/>
        <v>30</v>
      </c>
      <c r="G49" s="31">
        <f t="shared" si="1"/>
        <v>17.691846456570492</v>
      </c>
      <c r="H49" s="54"/>
      <c r="I49" s="119"/>
    </row>
    <row r="50" spans="2:9" x14ac:dyDescent="0.25">
      <c r="B50" s="39">
        <f t="shared" si="2"/>
        <v>46508</v>
      </c>
      <c r="C50" s="39">
        <f t="shared" si="3"/>
        <v>46538</v>
      </c>
      <c r="D50" s="4">
        <f t="shared" si="5"/>
        <v>2682.389707816571</v>
      </c>
      <c r="E50" s="54"/>
      <c r="F50" s="30">
        <f t="shared" si="0"/>
        <v>31</v>
      </c>
      <c r="G50" s="31">
        <f t="shared" si="1"/>
        <v>18.402952339692373</v>
      </c>
      <c r="H50" s="123">
        <f>H37-H38</f>
        <v>2500.125</v>
      </c>
      <c r="I50" s="119">
        <v>1</v>
      </c>
    </row>
    <row r="51" spans="2:9" x14ac:dyDescent="0.25">
      <c r="B51" s="39">
        <f t="shared" ref="B51:B52" si="6">C50+1</f>
        <v>46539</v>
      </c>
      <c r="C51" s="39">
        <f>B51+14</f>
        <v>46553</v>
      </c>
      <c r="D51" s="4">
        <f t="shared" si="5"/>
        <v>2700.7926601562635</v>
      </c>
      <c r="E51" s="127">
        <f>SUM(G39:G51)+(H51)</f>
        <v>2709.7584062821902</v>
      </c>
      <c r="F51" s="30">
        <f t="shared" si="0"/>
        <v>15</v>
      </c>
      <c r="G51" s="31">
        <f t="shared" si="1"/>
        <v>8.9657461259285789</v>
      </c>
      <c r="H51" s="121">
        <f>H50*I50</f>
        <v>2500.125</v>
      </c>
      <c r="I51" s="118"/>
    </row>
    <row r="52" spans="2:9" x14ac:dyDescent="0.25">
      <c r="B52" s="39">
        <f t="shared" si="6"/>
        <v>46554</v>
      </c>
      <c r="C52" s="39">
        <f>B52</f>
        <v>46554</v>
      </c>
      <c r="D52" s="4">
        <f t="shared" si="5"/>
        <v>0</v>
      </c>
      <c r="E52" s="127"/>
      <c r="F52" s="30"/>
      <c r="G52" s="31">
        <f t="shared" si="1"/>
        <v>0</v>
      </c>
      <c r="H52" s="121">
        <f>H51*I51</f>
        <v>0</v>
      </c>
      <c r="I52" s="118"/>
    </row>
    <row r="53" spans="2:9" x14ac:dyDescent="0.25">
      <c r="B53" s="39"/>
      <c r="C53" s="39"/>
      <c r="D53" s="4"/>
      <c r="E53" s="127"/>
      <c r="F53" s="30"/>
      <c r="G53" s="31"/>
      <c r="H53" s="121"/>
      <c r="I53" s="118"/>
    </row>
    <row r="54" spans="2:9" s="32" customFormat="1" x14ac:dyDescent="0.25">
      <c r="B54" s="112" t="s">
        <v>44</v>
      </c>
      <c r="C54" s="112"/>
      <c r="D54" s="17"/>
      <c r="E54" s="94"/>
      <c r="F54" s="34"/>
      <c r="G54" s="31">
        <f>SUM(G9:G53)</f>
        <v>1496.6375932165022</v>
      </c>
      <c r="H54" s="101"/>
      <c r="I54" s="103"/>
    </row>
    <row r="56" spans="2:9" x14ac:dyDescent="0.25">
      <c r="B56" s="22" t="s">
        <v>12</v>
      </c>
      <c r="C56" s="36">
        <f>SUM(F9:F53)</f>
        <v>1202</v>
      </c>
      <c r="D56" s="37">
        <f>C56/366</f>
        <v>3.2841530054644807</v>
      </c>
      <c r="E56" s="37">
        <f>D56*12</f>
        <v>39.409836065573771</v>
      </c>
    </row>
    <row r="57" spans="2:9" x14ac:dyDescent="0.25">
      <c r="B57" s="22" t="s">
        <v>13</v>
      </c>
      <c r="C57" s="79">
        <f>SUM(G9:G53)</f>
        <v>1496.6375932165022</v>
      </c>
    </row>
    <row r="58" spans="2:9" x14ac:dyDescent="0.25">
      <c r="B58" s="22" t="s">
        <v>16</v>
      </c>
      <c r="C58" s="24">
        <f>C57+C5</f>
        <v>11496.637593216503</v>
      </c>
    </row>
    <row r="59" spans="2:9" x14ac:dyDescent="0.25">
      <c r="B59" s="22" t="s">
        <v>17</v>
      </c>
      <c r="C59" s="25">
        <f>EFFECT(F5,E56)</f>
        <v>8.4279814214718529E-2</v>
      </c>
    </row>
    <row r="60" spans="2:9" ht="15.75" thickBot="1" x14ac:dyDescent="0.3">
      <c r="C60" s="37"/>
    </row>
    <row r="61" spans="2:9" x14ac:dyDescent="0.25">
      <c r="B61" s="63" t="s">
        <v>20</v>
      </c>
      <c r="C61" s="88">
        <f>C5</f>
        <v>10000</v>
      </c>
      <c r="D61" s="64"/>
      <c r="E61" s="90" t="s">
        <v>23</v>
      </c>
      <c r="F61" s="91">
        <f>SUM(G9:G53)</f>
        <v>1496.6375932165022</v>
      </c>
    </row>
    <row r="62" spans="2:9" x14ac:dyDescent="0.25">
      <c r="B62" s="43"/>
      <c r="E62" s="87"/>
      <c r="F62" s="45"/>
    </row>
    <row r="63" spans="2:9" ht="15.75" thickBot="1" x14ac:dyDescent="0.3">
      <c r="B63" s="43" t="s">
        <v>21</v>
      </c>
      <c r="C63" s="86">
        <f>H12+H25+H38+H51</f>
        <v>10000</v>
      </c>
      <c r="E63" s="87" t="s">
        <v>24</v>
      </c>
      <c r="F63" s="46">
        <f>(E12-H12)+(E25-H25)+(+E38-H38)+(E51-H51)</f>
        <v>1496.6375932165029</v>
      </c>
    </row>
    <row r="64" spans="2:9" ht="15.75" thickTop="1" x14ac:dyDescent="0.25">
      <c r="B64" s="43"/>
      <c r="F64" s="45"/>
    </row>
    <row r="65" spans="2:6" x14ac:dyDescent="0.25">
      <c r="B65" s="43" t="s">
        <v>22</v>
      </c>
      <c r="C65" s="47">
        <f>C61-C63</f>
        <v>0</v>
      </c>
      <c r="E65" s="87" t="s">
        <v>25</v>
      </c>
      <c r="F65" s="44">
        <f>F61-F63</f>
        <v>0</v>
      </c>
    </row>
    <row r="66" spans="2:6" ht="15.75" thickBot="1" x14ac:dyDescent="0.3">
      <c r="B66" s="48"/>
      <c r="C66" s="49"/>
      <c r="D66" s="49"/>
      <c r="E66" s="49"/>
      <c r="F66" s="50"/>
    </row>
  </sheetData>
  <pageMargins left="0.7" right="0.7" top="0.75" bottom="0.75" header="0.3" footer="0.3"/>
  <pageSetup scale="46" fitToWidth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I73"/>
  <sheetViews>
    <sheetView zoomScaleNormal="100" workbookViewId="0">
      <selection activeCell="B32" sqref="B32"/>
    </sheetView>
  </sheetViews>
  <sheetFormatPr defaultRowHeight="15" x14ac:dyDescent="0.25"/>
  <cols>
    <col min="1" max="1" width="3" customWidth="1"/>
    <col min="2" max="2" width="21.42578125" customWidth="1"/>
    <col min="3" max="3" width="20.5703125" customWidth="1"/>
    <col min="4" max="4" width="16.85546875" customWidth="1"/>
    <col min="5" max="5" width="13.7109375" customWidth="1"/>
    <col min="6" max="6" width="15.42578125" customWidth="1"/>
    <col min="7" max="7" width="13.28515625" customWidth="1"/>
    <col min="8" max="8" width="24.7109375" style="22" customWidth="1"/>
    <col min="9" max="9" width="24.7109375" style="70" customWidth="1"/>
  </cols>
  <sheetData>
    <row r="1" spans="1:9" ht="23.25" x14ac:dyDescent="0.35">
      <c r="A1" s="9"/>
      <c r="B1" s="9" t="s">
        <v>0</v>
      </c>
      <c r="C1" s="9"/>
      <c r="D1" s="9"/>
      <c r="E1" s="9"/>
      <c r="F1" s="9"/>
      <c r="G1" s="9"/>
    </row>
    <row r="2" spans="1:9" ht="23.25" x14ac:dyDescent="0.35">
      <c r="A2" s="9"/>
      <c r="B2" s="9" t="s">
        <v>35</v>
      </c>
      <c r="C2" s="9"/>
      <c r="D2" s="9"/>
      <c r="E2" s="9"/>
      <c r="F2" s="9"/>
      <c r="G2" s="9"/>
    </row>
    <row r="4" spans="1:9" s="10" customFormat="1" ht="12.75" x14ac:dyDescent="0.2">
      <c r="B4" s="10" t="s">
        <v>1</v>
      </c>
      <c r="C4" s="11" t="s">
        <v>2</v>
      </c>
      <c r="D4" s="10" t="s">
        <v>7</v>
      </c>
      <c r="E4" s="12" t="s">
        <v>10</v>
      </c>
      <c r="F4" s="10" t="s">
        <v>15</v>
      </c>
      <c r="G4" s="10" t="s">
        <v>11</v>
      </c>
      <c r="H4" s="18"/>
      <c r="I4" s="108"/>
    </row>
    <row r="5" spans="1:9" x14ac:dyDescent="0.25">
      <c r="B5" s="72">
        <v>45352</v>
      </c>
      <c r="C5" s="52">
        <v>10000</v>
      </c>
      <c r="D5" s="7">
        <f>C5/2</f>
        <v>5000</v>
      </c>
      <c r="E5" s="25">
        <v>7.1999999999999995E-2</v>
      </c>
      <c r="F5" s="5">
        <f>E5+0.009</f>
        <v>8.0999999999999989E-2</v>
      </c>
      <c r="G5" s="5">
        <f>F5/366</f>
        <v>2.2131147540983603E-4</v>
      </c>
    </row>
    <row r="6" spans="1:9" x14ac:dyDescent="0.25">
      <c r="B6" s="56"/>
      <c r="C6" s="75"/>
      <c r="D6" s="7"/>
      <c r="E6" s="25"/>
      <c r="F6" s="5"/>
      <c r="G6" s="5"/>
    </row>
    <row r="7" spans="1:9" x14ac:dyDescent="0.25">
      <c r="B7" s="57" t="s">
        <v>41</v>
      </c>
      <c r="C7" s="1"/>
      <c r="D7" s="7"/>
      <c r="E7" s="68"/>
      <c r="F7" s="61"/>
      <c r="G7" s="5"/>
    </row>
    <row r="8" spans="1:9" x14ac:dyDescent="0.25">
      <c r="B8" s="56"/>
      <c r="C8" s="1"/>
      <c r="D8" s="7"/>
      <c r="E8" s="68"/>
      <c r="F8" s="61"/>
      <c r="G8" s="5"/>
    </row>
    <row r="9" spans="1:9" x14ac:dyDescent="0.25">
      <c r="E9" s="25"/>
      <c r="F9" s="61"/>
      <c r="G9" s="5"/>
    </row>
    <row r="10" spans="1:9" s="10" customFormat="1" ht="12.75" x14ac:dyDescent="0.2">
      <c r="B10" s="13" t="s">
        <v>3</v>
      </c>
      <c r="C10" s="13" t="s">
        <v>4</v>
      </c>
      <c r="D10" s="13" t="s">
        <v>5</v>
      </c>
      <c r="E10" s="13" t="s">
        <v>8</v>
      </c>
      <c r="F10" s="13" t="s">
        <v>6</v>
      </c>
      <c r="G10" s="14" t="s">
        <v>9</v>
      </c>
      <c r="H10" s="114" t="s">
        <v>18</v>
      </c>
      <c r="I10" s="122" t="s">
        <v>19</v>
      </c>
    </row>
    <row r="11" spans="1:9" x14ac:dyDescent="0.25">
      <c r="B11" s="2">
        <f>B5</f>
        <v>45352</v>
      </c>
      <c r="C11" s="39">
        <f>EOMONTH(B11,0)</f>
        <v>45382</v>
      </c>
      <c r="D11" s="4">
        <f>C5</f>
        <v>10000</v>
      </c>
      <c r="E11" s="4"/>
      <c r="F11" s="3">
        <f t="shared" ref="F11:F13" si="0">C11-B11+1</f>
        <v>31</v>
      </c>
      <c r="G11" s="6">
        <f>$G$5*F11*D11</f>
        <v>68.606557377049171</v>
      </c>
      <c r="H11" s="123"/>
      <c r="I11" s="118"/>
    </row>
    <row r="12" spans="1:9" x14ac:dyDescent="0.25">
      <c r="B12" s="2">
        <f>C11+1</f>
        <v>45383</v>
      </c>
      <c r="C12" s="39">
        <f>EOMONTH(B12,0)</f>
        <v>45412</v>
      </c>
      <c r="D12" s="4">
        <f>D11+G11-E11</f>
        <v>10068.606557377048</v>
      </c>
      <c r="E12" s="4"/>
      <c r="F12" s="3">
        <f t="shared" si="0"/>
        <v>30</v>
      </c>
      <c r="G12" s="6">
        <f t="shared" ref="G12:G26" si="1">$G$5*F12*D12</f>
        <v>66.848945176027925</v>
      </c>
      <c r="H12" s="123"/>
      <c r="I12" s="118"/>
    </row>
    <row r="13" spans="1:9" x14ac:dyDescent="0.25">
      <c r="B13" s="2">
        <f t="shared" ref="B13:B26" si="2">C12+1</f>
        <v>45413</v>
      </c>
      <c r="C13" s="39">
        <f t="shared" ref="C13:C26" si="3">EOMONTH(B13,0)</f>
        <v>45443</v>
      </c>
      <c r="D13" s="4">
        <f t="shared" ref="D13" si="4">D12+G12-E12</f>
        <v>10135.455502553077</v>
      </c>
      <c r="E13" s="4"/>
      <c r="F13" s="3">
        <f t="shared" si="0"/>
        <v>31</v>
      </c>
      <c r="G13" s="6">
        <f t="shared" si="1"/>
        <v>69.535870947843648</v>
      </c>
      <c r="H13" s="123">
        <f>$C$5</f>
        <v>10000</v>
      </c>
      <c r="I13" s="118">
        <v>0.5</v>
      </c>
    </row>
    <row r="14" spans="1:9" x14ac:dyDescent="0.25">
      <c r="B14" s="2">
        <f t="shared" si="2"/>
        <v>45444</v>
      </c>
      <c r="C14" s="39">
        <f>B14+14</f>
        <v>45458</v>
      </c>
      <c r="D14" s="4">
        <f>D13+G13-E13</f>
        <v>10204.991373500921</v>
      </c>
      <c r="E14" s="4">
        <f>SUM($G$11:G14)+H14</f>
        <v>5238.8685989621326</v>
      </c>
      <c r="F14" s="3">
        <f>C14-B14+1</f>
        <v>15</v>
      </c>
      <c r="G14" s="6">
        <f t="shared" si="1"/>
        <v>33.87722546121207</v>
      </c>
      <c r="H14" s="123">
        <f>H13*I13</f>
        <v>5000</v>
      </c>
      <c r="I14" s="118"/>
    </row>
    <row r="15" spans="1:9" x14ac:dyDescent="0.25">
      <c r="B15" s="2">
        <f t="shared" si="2"/>
        <v>45459</v>
      </c>
      <c r="C15" s="39">
        <f t="shared" si="3"/>
        <v>45473</v>
      </c>
      <c r="D15" s="4">
        <f>D14+G14-E14</f>
        <v>5000.0000000000009</v>
      </c>
      <c r="E15" s="4"/>
      <c r="F15" s="3">
        <f>C15-B15+1</f>
        <v>15</v>
      </c>
      <c r="G15" s="6">
        <f t="shared" si="1"/>
        <v>16.598360655737704</v>
      </c>
      <c r="H15" s="123"/>
      <c r="I15" s="118"/>
    </row>
    <row r="16" spans="1:9" x14ac:dyDescent="0.25">
      <c r="B16" s="2">
        <f t="shared" si="2"/>
        <v>45474</v>
      </c>
      <c r="C16" s="39">
        <f t="shared" si="3"/>
        <v>45504</v>
      </c>
      <c r="D16" s="4">
        <f t="shared" ref="D16:D26" si="5">D15+G15-E15</f>
        <v>5016.5983606557384</v>
      </c>
      <c r="E16" s="4"/>
      <c r="F16" s="3">
        <f t="shared" ref="F16:F26" si="6">C16-B16+1</f>
        <v>31</v>
      </c>
      <c r="G16" s="6">
        <f t="shared" si="1"/>
        <v>34.41715432679387</v>
      </c>
      <c r="H16" s="54"/>
      <c r="I16" s="119"/>
    </row>
    <row r="17" spans="2:9" x14ac:dyDescent="0.25">
      <c r="B17" s="2">
        <f t="shared" si="2"/>
        <v>45505</v>
      </c>
      <c r="C17" s="39">
        <f t="shared" si="3"/>
        <v>45535</v>
      </c>
      <c r="D17" s="4">
        <f t="shared" si="5"/>
        <v>5051.0155149825323</v>
      </c>
      <c r="E17" s="4"/>
      <c r="F17" s="3">
        <f t="shared" si="6"/>
        <v>31</v>
      </c>
      <c r="G17" s="6">
        <f t="shared" si="1"/>
        <v>34.653278574101471</v>
      </c>
      <c r="H17" s="54"/>
      <c r="I17" s="119"/>
    </row>
    <row r="18" spans="2:9" x14ac:dyDescent="0.25">
      <c r="B18" s="2">
        <f t="shared" si="2"/>
        <v>45536</v>
      </c>
      <c r="C18" s="39">
        <f t="shared" si="3"/>
        <v>45565</v>
      </c>
      <c r="D18" s="4">
        <f t="shared" si="5"/>
        <v>5085.6687935566333</v>
      </c>
      <c r="E18" s="4"/>
      <c r="F18" s="3">
        <f t="shared" si="6"/>
        <v>30</v>
      </c>
      <c r="G18" s="6">
        <f t="shared" si="1"/>
        <v>33.765505924433377</v>
      </c>
      <c r="H18" s="54"/>
      <c r="I18" s="119"/>
    </row>
    <row r="19" spans="2:9" x14ac:dyDescent="0.25">
      <c r="B19" s="2">
        <f t="shared" si="2"/>
        <v>45566</v>
      </c>
      <c r="C19" s="39">
        <f t="shared" si="3"/>
        <v>45596</v>
      </c>
      <c r="D19" s="4">
        <f t="shared" si="5"/>
        <v>5119.4342994810668</v>
      </c>
      <c r="E19" s="4"/>
      <c r="F19" s="3">
        <f t="shared" si="6"/>
        <v>31</v>
      </c>
      <c r="G19" s="6">
        <f t="shared" si="1"/>
        <v>35.122676300538131</v>
      </c>
      <c r="H19" s="54"/>
      <c r="I19" s="119"/>
    </row>
    <row r="20" spans="2:9" x14ac:dyDescent="0.25">
      <c r="B20" s="2">
        <f t="shared" si="2"/>
        <v>45597</v>
      </c>
      <c r="C20" s="39">
        <f t="shared" si="3"/>
        <v>45626</v>
      </c>
      <c r="D20" s="4">
        <f t="shared" si="5"/>
        <v>5154.5569757816047</v>
      </c>
      <c r="E20" s="4"/>
      <c r="F20" s="3">
        <f t="shared" si="6"/>
        <v>30</v>
      </c>
      <c r="G20" s="6">
        <f t="shared" si="1"/>
        <v>34.222878281828677</v>
      </c>
      <c r="H20" s="54"/>
      <c r="I20" s="119"/>
    </row>
    <row r="21" spans="2:9" x14ac:dyDescent="0.25">
      <c r="B21" s="2">
        <f t="shared" si="2"/>
        <v>45627</v>
      </c>
      <c r="C21" s="39">
        <f t="shared" si="3"/>
        <v>45657</v>
      </c>
      <c r="D21" s="4">
        <f t="shared" si="5"/>
        <v>5188.779854063433</v>
      </c>
      <c r="E21" s="4"/>
      <c r="F21" s="3">
        <f t="shared" si="6"/>
        <v>31</v>
      </c>
      <c r="G21" s="6">
        <f t="shared" si="1"/>
        <v>35.598432277467978</v>
      </c>
      <c r="H21" s="54"/>
      <c r="I21" s="119"/>
    </row>
    <row r="22" spans="2:9" x14ac:dyDescent="0.25">
      <c r="B22" s="2">
        <f t="shared" si="2"/>
        <v>45658</v>
      </c>
      <c r="C22" s="39">
        <f t="shared" si="3"/>
        <v>45688</v>
      </c>
      <c r="D22" s="4">
        <f t="shared" si="5"/>
        <v>5224.3782863409015</v>
      </c>
      <c r="E22" s="4"/>
      <c r="F22" s="3">
        <f t="shared" si="6"/>
        <v>31</v>
      </c>
      <c r="G22" s="6">
        <f t="shared" si="1"/>
        <v>35.842660866125691</v>
      </c>
      <c r="H22" s="54"/>
      <c r="I22" s="119"/>
    </row>
    <row r="23" spans="2:9" x14ac:dyDescent="0.25">
      <c r="B23" s="2">
        <f t="shared" si="2"/>
        <v>45689</v>
      </c>
      <c r="C23" s="39">
        <f t="shared" si="3"/>
        <v>45716</v>
      </c>
      <c r="D23" s="4">
        <f t="shared" si="5"/>
        <v>5260.2209472070272</v>
      </c>
      <c r="E23" s="4"/>
      <c r="F23" s="3">
        <f t="shared" si="6"/>
        <v>28</v>
      </c>
      <c r="G23" s="6">
        <f t="shared" si="1"/>
        <v>32.596123246627144</v>
      </c>
      <c r="H23" s="54"/>
      <c r="I23" s="119"/>
    </row>
    <row r="24" spans="2:9" x14ac:dyDescent="0.25">
      <c r="B24" s="2">
        <f t="shared" si="2"/>
        <v>45717</v>
      </c>
      <c r="C24" s="39">
        <f t="shared" si="3"/>
        <v>45747</v>
      </c>
      <c r="D24" s="4">
        <f t="shared" si="5"/>
        <v>5292.8170704536542</v>
      </c>
      <c r="E24" s="4"/>
      <c r="F24" s="3">
        <f t="shared" si="6"/>
        <v>31</v>
      </c>
      <c r="G24" s="6">
        <f t="shared" si="1"/>
        <v>36.312195803030392</v>
      </c>
      <c r="H24" s="54"/>
      <c r="I24" s="119"/>
    </row>
    <row r="25" spans="2:9" x14ac:dyDescent="0.25">
      <c r="B25" s="2">
        <f t="shared" si="2"/>
        <v>45748</v>
      </c>
      <c r="C25" s="39">
        <f t="shared" si="3"/>
        <v>45777</v>
      </c>
      <c r="D25" s="4">
        <f t="shared" si="5"/>
        <v>5329.1292662566848</v>
      </c>
      <c r="E25" s="4"/>
      <c r="F25" s="3">
        <f t="shared" si="6"/>
        <v>30</v>
      </c>
      <c r="G25" s="6">
        <f t="shared" si="1"/>
        <v>35.381923816950113</v>
      </c>
      <c r="H25" s="54"/>
      <c r="I25" s="119"/>
    </row>
    <row r="26" spans="2:9" x14ac:dyDescent="0.25">
      <c r="B26" s="2">
        <f t="shared" si="2"/>
        <v>45778</v>
      </c>
      <c r="C26" s="39">
        <f t="shared" si="3"/>
        <v>45808</v>
      </c>
      <c r="D26" s="4">
        <f t="shared" si="5"/>
        <v>5364.5111900736347</v>
      </c>
      <c r="E26" s="4"/>
      <c r="F26" s="3">
        <f t="shared" si="6"/>
        <v>31</v>
      </c>
      <c r="G26" s="6">
        <f t="shared" si="1"/>
        <v>36.804064476160917</v>
      </c>
      <c r="H26" s="123">
        <f>H14-H15</f>
        <v>5000</v>
      </c>
      <c r="I26" s="118">
        <v>1</v>
      </c>
    </row>
    <row r="27" spans="2:9" x14ac:dyDescent="0.25">
      <c r="B27" s="2">
        <f t="shared" ref="B27:B28" si="7">C26+1</f>
        <v>45809</v>
      </c>
      <c r="C27" s="39">
        <f>B27+14</f>
        <v>45823</v>
      </c>
      <c r="D27" s="4">
        <f t="shared" ref="D27:D28" si="8">D26+G26-E26</f>
        <v>5401.315254549796</v>
      </c>
      <c r="E27" s="4">
        <f>SUM(G15:G27)+H27</f>
        <v>5419.2458502718664</v>
      </c>
      <c r="F27" s="3">
        <f t="shared" ref="F27" si="9">C27-B27+1</f>
        <v>15</v>
      </c>
      <c r="G27" s="6">
        <f t="shared" ref="G27:G28" si="10">$G$5*F27*D27</f>
        <v>17.93059572207104</v>
      </c>
      <c r="H27" s="123">
        <f>H26*I26</f>
        <v>5000</v>
      </c>
      <c r="I27" s="118"/>
    </row>
    <row r="28" spans="2:9" x14ac:dyDescent="0.25">
      <c r="B28" s="2">
        <f t="shared" si="7"/>
        <v>45824</v>
      </c>
      <c r="C28" s="39">
        <f>B28</f>
        <v>45824</v>
      </c>
      <c r="D28" s="4">
        <f t="shared" si="8"/>
        <v>0</v>
      </c>
      <c r="E28" s="4"/>
      <c r="F28" s="3"/>
      <c r="G28" s="6">
        <f t="shared" si="10"/>
        <v>0</v>
      </c>
      <c r="H28" s="123"/>
      <c r="I28" s="118"/>
    </row>
    <row r="29" spans="2:9" x14ac:dyDescent="0.25">
      <c r="B29" s="2"/>
      <c r="C29" s="39"/>
      <c r="D29" s="4"/>
      <c r="E29" s="4"/>
      <c r="F29" s="3"/>
      <c r="G29" s="6"/>
      <c r="H29" s="123"/>
      <c r="I29" s="118"/>
    </row>
    <row r="30" spans="2:9" x14ac:dyDescent="0.25">
      <c r="B30" s="2"/>
      <c r="C30" s="39"/>
      <c r="D30" s="4"/>
      <c r="E30" s="4"/>
      <c r="F30" s="3"/>
      <c r="G30" s="6"/>
      <c r="H30" s="123"/>
      <c r="I30" s="118"/>
    </row>
    <row r="31" spans="2:9" x14ac:dyDescent="0.25">
      <c r="B31" s="15" t="s">
        <v>44</v>
      </c>
      <c r="C31" s="16"/>
      <c r="D31" s="17"/>
      <c r="E31" s="8"/>
      <c r="F31" s="3"/>
      <c r="G31" s="6">
        <f>SUM(G11:G30)</f>
        <v>658.11444923399938</v>
      </c>
      <c r="H31" s="116"/>
      <c r="I31" s="103"/>
    </row>
    <row r="32" spans="2:9" x14ac:dyDescent="0.25">
      <c r="H32" s="24"/>
      <c r="I32" s="110"/>
    </row>
    <row r="33" spans="2:9" x14ac:dyDescent="0.25">
      <c r="B33" t="s">
        <v>12</v>
      </c>
      <c r="C33" s="41">
        <f>SUM(F11:F29)</f>
        <v>472</v>
      </c>
      <c r="D33" s="38">
        <f>C33/366</f>
        <v>1.2896174863387979</v>
      </c>
      <c r="E33" s="38">
        <f>D33*12</f>
        <v>15.475409836065575</v>
      </c>
      <c r="H33"/>
      <c r="I33" s="111"/>
    </row>
    <row r="34" spans="2:9" x14ac:dyDescent="0.25">
      <c r="B34" s="76" t="s">
        <v>13</v>
      </c>
      <c r="C34" s="77">
        <f>SUM(G11:G29)</f>
        <v>658.11444923399938</v>
      </c>
      <c r="H34"/>
      <c r="I34" s="111"/>
    </row>
    <row r="35" spans="2:9" x14ac:dyDescent="0.25">
      <c r="B35" t="s">
        <v>16</v>
      </c>
      <c r="C35" s="7">
        <f>C34+C5</f>
        <v>10658.114449233999</v>
      </c>
      <c r="H35"/>
      <c r="I35" s="111"/>
    </row>
    <row r="36" spans="2:9" x14ac:dyDescent="0.25">
      <c r="B36" t="s">
        <v>17</v>
      </c>
      <c r="C36" s="5">
        <f>EFFECT(F5,E33)</f>
        <v>8.4134620700835328E-2</v>
      </c>
      <c r="H36"/>
      <c r="I36" s="111"/>
    </row>
    <row r="37" spans="2:9" x14ac:dyDescent="0.25">
      <c r="H37"/>
      <c r="I37" s="111"/>
    </row>
    <row r="38" spans="2:9" ht="15.75" thickBot="1" x14ac:dyDescent="0.3">
      <c r="H38"/>
      <c r="I38" s="111"/>
    </row>
    <row r="39" spans="2:9" x14ac:dyDescent="0.25">
      <c r="B39" s="63" t="s">
        <v>20</v>
      </c>
      <c r="C39" s="64"/>
      <c r="D39" s="64"/>
      <c r="E39" s="64" t="s">
        <v>23</v>
      </c>
      <c r="F39" s="65"/>
      <c r="H39"/>
      <c r="I39" s="111"/>
    </row>
    <row r="40" spans="2:9" x14ac:dyDescent="0.25">
      <c r="B40" s="43"/>
      <c r="C40" s="24">
        <f>C5</f>
        <v>10000</v>
      </c>
      <c r="D40" s="22"/>
      <c r="E40" s="22"/>
      <c r="F40" s="44">
        <f>SUM(G11:G30)</f>
        <v>658.11444923399938</v>
      </c>
      <c r="H40"/>
      <c r="I40" s="111"/>
    </row>
    <row r="41" spans="2:9" x14ac:dyDescent="0.25">
      <c r="B41" s="43"/>
      <c r="C41" s="22"/>
      <c r="D41" s="22"/>
      <c r="E41" s="22"/>
      <c r="F41" s="45"/>
      <c r="H41"/>
      <c r="I41" s="111"/>
    </row>
    <row r="42" spans="2:9" x14ac:dyDescent="0.25">
      <c r="B42" s="43" t="s">
        <v>21</v>
      </c>
      <c r="C42" s="22"/>
      <c r="D42" s="22"/>
      <c r="E42" s="22" t="s">
        <v>24</v>
      </c>
      <c r="F42" s="45"/>
      <c r="H42"/>
      <c r="I42" s="111"/>
    </row>
    <row r="43" spans="2:9" ht="15.75" thickBot="1" x14ac:dyDescent="0.3">
      <c r="B43" s="43"/>
      <c r="C43" s="42">
        <f>H14+H27</f>
        <v>10000</v>
      </c>
      <c r="D43" s="22"/>
      <c r="E43" s="22"/>
      <c r="F43" s="46">
        <f>(E14-H14)+(E27-H27)</f>
        <v>658.11444923399904</v>
      </c>
      <c r="H43"/>
      <c r="I43" s="111"/>
    </row>
    <row r="44" spans="2:9" ht="15.75" thickTop="1" x14ac:dyDescent="0.25">
      <c r="B44" s="43"/>
      <c r="C44" s="22"/>
      <c r="D44" s="22"/>
      <c r="E44" s="22"/>
      <c r="F44" s="45"/>
      <c r="H44"/>
      <c r="I44" s="111"/>
    </row>
    <row r="45" spans="2:9" x14ac:dyDescent="0.25">
      <c r="B45" s="43" t="s">
        <v>22</v>
      </c>
      <c r="C45" s="47">
        <f>C40-C43</f>
        <v>0</v>
      </c>
      <c r="D45" s="22"/>
      <c r="E45" s="22" t="s">
        <v>25</v>
      </c>
      <c r="F45" s="45"/>
      <c r="H45"/>
      <c r="I45" s="111"/>
    </row>
    <row r="46" spans="2:9" x14ac:dyDescent="0.25">
      <c r="B46" s="43"/>
      <c r="C46" s="22"/>
      <c r="D46" s="22"/>
      <c r="E46" s="22"/>
      <c r="F46" s="44">
        <f>F40-F43</f>
        <v>0</v>
      </c>
      <c r="H46"/>
      <c r="I46" s="111"/>
    </row>
    <row r="47" spans="2:9" ht="15.75" thickBot="1" x14ac:dyDescent="0.3">
      <c r="B47" s="48"/>
      <c r="C47" s="49"/>
      <c r="D47" s="49"/>
      <c r="E47" s="49"/>
      <c r="F47" s="50"/>
      <c r="H47"/>
      <c r="I47" s="111"/>
    </row>
    <row r="48" spans="2:9" x14ac:dyDescent="0.25">
      <c r="H48"/>
      <c r="I48" s="111"/>
    </row>
    <row r="49" spans="8:9" x14ac:dyDescent="0.25">
      <c r="H49"/>
      <c r="I49" s="111"/>
    </row>
    <row r="50" spans="8:9" x14ac:dyDescent="0.25">
      <c r="H50"/>
      <c r="I50" s="111"/>
    </row>
    <row r="51" spans="8:9" x14ac:dyDescent="0.25">
      <c r="H51"/>
      <c r="I51" s="111"/>
    </row>
    <row r="52" spans="8:9" x14ac:dyDescent="0.25">
      <c r="H52"/>
      <c r="I52" s="111"/>
    </row>
    <row r="53" spans="8:9" x14ac:dyDescent="0.25">
      <c r="H53"/>
      <c r="I53" s="111"/>
    </row>
    <row r="54" spans="8:9" x14ac:dyDescent="0.25">
      <c r="H54"/>
      <c r="I54" s="111"/>
    </row>
    <row r="55" spans="8:9" x14ac:dyDescent="0.25">
      <c r="H55"/>
      <c r="I55" s="111"/>
    </row>
    <row r="56" spans="8:9" x14ac:dyDescent="0.25">
      <c r="H56"/>
      <c r="I56" s="111"/>
    </row>
    <row r="57" spans="8:9" x14ac:dyDescent="0.25">
      <c r="H57"/>
      <c r="I57" s="111"/>
    </row>
    <row r="58" spans="8:9" x14ac:dyDescent="0.25">
      <c r="H58"/>
      <c r="I58" s="111"/>
    </row>
    <row r="59" spans="8:9" x14ac:dyDescent="0.25">
      <c r="H59"/>
      <c r="I59" s="111"/>
    </row>
    <row r="60" spans="8:9" x14ac:dyDescent="0.25">
      <c r="H60"/>
      <c r="I60" s="111"/>
    </row>
    <row r="61" spans="8:9" x14ac:dyDescent="0.25">
      <c r="H61"/>
      <c r="I61" s="111"/>
    </row>
    <row r="62" spans="8:9" x14ac:dyDescent="0.25">
      <c r="H62"/>
      <c r="I62" s="111"/>
    </row>
    <row r="63" spans="8:9" x14ac:dyDescent="0.25">
      <c r="H63"/>
      <c r="I63" s="111"/>
    </row>
    <row r="64" spans="8:9" x14ac:dyDescent="0.25">
      <c r="H64"/>
      <c r="I64" s="111"/>
    </row>
    <row r="65" spans="3:9" x14ac:dyDescent="0.25">
      <c r="H65"/>
      <c r="I65" s="111"/>
    </row>
    <row r="66" spans="3:9" x14ac:dyDescent="0.25">
      <c r="H66"/>
      <c r="I66" s="111"/>
    </row>
    <row r="67" spans="3:9" x14ac:dyDescent="0.25">
      <c r="H67"/>
      <c r="I67" s="111"/>
    </row>
    <row r="68" spans="3:9" x14ac:dyDescent="0.25">
      <c r="H68"/>
      <c r="I68" s="111"/>
    </row>
    <row r="69" spans="3:9" x14ac:dyDescent="0.25">
      <c r="H69"/>
      <c r="I69" s="111"/>
    </row>
    <row r="70" spans="3:9" x14ac:dyDescent="0.25">
      <c r="H70"/>
      <c r="I70" s="111"/>
    </row>
    <row r="73" spans="3:9" x14ac:dyDescent="0.25">
      <c r="C73" s="38"/>
    </row>
  </sheetData>
  <pageMargins left="0.7" right="0.7" top="0.75" bottom="0.75" header="0.3" footer="0.3"/>
  <pageSetup scale="4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0656C8-CE37-4947-92DE-08627736344E}">
  <sheetPr>
    <tabColor rgb="FF00B050"/>
  </sheetPr>
  <dimension ref="A1:I87"/>
  <sheetViews>
    <sheetView topLeftCell="A17" zoomScaleNormal="100" workbookViewId="0">
      <selection activeCell="B46" sqref="B46"/>
    </sheetView>
  </sheetViews>
  <sheetFormatPr defaultRowHeight="15" x14ac:dyDescent="0.25"/>
  <cols>
    <col min="1" max="1" width="3" customWidth="1"/>
    <col min="2" max="2" width="21.42578125" customWidth="1"/>
    <col min="3" max="3" width="20.5703125" customWidth="1"/>
    <col min="4" max="4" width="16.85546875" customWidth="1"/>
    <col min="5" max="5" width="13.7109375" customWidth="1"/>
    <col min="6" max="6" width="15.42578125" customWidth="1"/>
    <col min="7" max="7" width="13.28515625" customWidth="1"/>
    <col min="8" max="8" width="24.7109375" style="22" customWidth="1"/>
    <col min="9" max="9" width="24.7109375" style="70" customWidth="1"/>
  </cols>
  <sheetData>
    <row r="1" spans="1:9" ht="23.25" x14ac:dyDescent="0.35">
      <c r="A1" s="9"/>
      <c r="B1" s="9" t="s">
        <v>0</v>
      </c>
      <c r="C1" s="9"/>
      <c r="D1" s="9"/>
      <c r="E1" s="9"/>
      <c r="F1" s="9"/>
      <c r="G1" s="9"/>
    </row>
    <row r="2" spans="1:9" ht="23.25" x14ac:dyDescent="0.35">
      <c r="A2" s="9"/>
      <c r="B2" s="9" t="s">
        <v>35</v>
      </c>
      <c r="C2" s="9"/>
      <c r="D2" s="9"/>
      <c r="E2" s="9"/>
      <c r="F2" s="9"/>
      <c r="G2" s="9"/>
    </row>
    <row r="4" spans="1:9" s="10" customFormat="1" ht="12.75" x14ac:dyDescent="0.2">
      <c r="B4" s="10" t="s">
        <v>1</v>
      </c>
      <c r="C4" s="11" t="s">
        <v>2</v>
      </c>
      <c r="D4" s="10" t="s">
        <v>7</v>
      </c>
      <c r="E4" s="12" t="s">
        <v>10</v>
      </c>
      <c r="F4" s="10" t="s">
        <v>15</v>
      </c>
      <c r="G4" s="10" t="s">
        <v>11</v>
      </c>
      <c r="H4" s="18"/>
      <c r="I4" s="108"/>
    </row>
    <row r="5" spans="1:9" x14ac:dyDescent="0.25">
      <c r="B5" s="72">
        <v>45352</v>
      </c>
      <c r="C5" s="52">
        <v>10000</v>
      </c>
      <c r="D5" s="7">
        <f>C5/2</f>
        <v>5000</v>
      </c>
      <c r="E5" s="25">
        <v>7.1999999999999995E-2</v>
      </c>
      <c r="F5" s="5">
        <f>E5+0.009</f>
        <v>8.0999999999999989E-2</v>
      </c>
      <c r="G5" s="5">
        <f>F5/366</f>
        <v>2.2131147540983603E-4</v>
      </c>
    </row>
    <row r="6" spans="1:9" x14ac:dyDescent="0.25">
      <c r="B6" s="56"/>
      <c r="C6" s="75"/>
      <c r="D6" s="7"/>
      <c r="E6" s="25"/>
      <c r="F6" s="5"/>
      <c r="G6" s="5"/>
    </row>
    <row r="7" spans="1:9" x14ac:dyDescent="0.25">
      <c r="B7" s="57" t="s">
        <v>41</v>
      </c>
      <c r="C7" s="1"/>
      <c r="D7" s="7"/>
      <c r="E7" s="68"/>
      <c r="F7" s="61"/>
      <c r="G7" s="5"/>
    </row>
    <row r="8" spans="1:9" x14ac:dyDescent="0.25">
      <c r="B8" s="56"/>
      <c r="C8" s="1"/>
      <c r="D8" s="7"/>
      <c r="E8" s="68"/>
      <c r="F8" s="61"/>
      <c r="G8" s="5"/>
    </row>
    <row r="9" spans="1:9" x14ac:dyDescent="0.25">
      <c r="E9" s="25"/>
      <c r="F9" s="61"/>
      <c r="G9" s="5"/>
    </row>
    <row r="10" spans="1:9" s="10" customFormat="1" ht="12.75" x14ac:dyDescent="0.2">
      <c r="B10" s="13" t="s">
        <v>3</v>
      </c>
      <c r="C10" s="13" t="s">
        <v>4</v>
      </c>
      <c r="D10" s="13" t="s">
        <v>5</v>
      </c>
      <c r="E10" s="13" t="s">
        <v>8</v>
      </c>
      <c r="F10" s="13" t="s">
        <v>6</v>
      </c>
      <c r="G10" s="14" t="s">
        <v>9</v>
      </c>
      <c r="H10" s="114" t="s">
        <v>18</v>
      </c>
      <c r="I10" s="122" t="s">
        <v>19</v>
      </c>
    </row>
    <row r="11" spans="1:9" x14ac:dyDescent="0.25">
      <c r="B11" s="2">
        <f>B5</f>
        <v>45352</v>
      </c>
      <c r="C11" s="39">
        <f>EOMONTH(B11,0)</f>
        <v>45382</v>
      </c>
      <c r="D11" s="4">
        <f>C5</f>
        <v>10000</v>
      </c>
      <c r="E11" s="4"/>
      <c r="F11" s="3">
        <f t="shared" ref="F11:F13" si="0">C11-B11+1</f>
        <v>31</v>
      </c>
      <c r="G11" s="6">
        <f>$G$5*F11*D11</f>
        <v>68.606557377049171</v>
      </c>
      <c r="H11" s="123"/>
      <c r="I11" s="118"/>
    </row>
    <row r="12" spans="1:9" x14ac:dyDescent="0.25">
      <c r="B12" s="2">
        <f>C11+1</f>
        <v>45383</v>
      </c>
      <c r="C12" s="39">
        <f>EOMONTH(B12,0)</f>
        <v>45412</v>
      </c>
      <c r="D12" s="4">
        <f>D11+G11-E11</f>
        <v>10068.606557377048</v>
      </c>
      <c r="E12" s="4"/>
      <c r="F12" s="3">
        <f t="shared" si="0"/>
        <v>30</v>
      </c>
      <c r="G12" s="6">
        <f t="shared" ref="G12:G27" si="1">$G$5*F12*D12</f>
        <v>66.848945176027925</v>
      </c>
      <c r="H12" s="123"/>
      <c r="I12" s="118"/>
    </row>
    <row r="13" spans="1:9" x14ac:dyDescent="0.25">
      <c r="B13" s="2">
        <f t="shared" ref="B13:B28" si="2">C12+1</f>
        <v>45413</v>
      </c>
      <c r="C13" s="39">
        <f t="shared" ref="C13:C28" si="3">EOMONTH(B13,0)</f>
        <v>45443</v>
      </c>
      <c r="D13" s="4">
        <f t="shared" ref="D13" si="4">D12+G12-E12</f>
        <v>10135.455502553077</v>
      </c>
      <c r="E13" s="4"/>
      <c r="F13" s="3">
        <f t="shared" si="0"/>
        <v>31</v>
      </c>
      <c r="G13" s="6">
        <f t="shared" si="1"/>
        <v>69.535870947843648</v>
      </c>
      <c r="H13" s="123">
        <v>0</v>
      </c>
      <c r="I13" s="118">
        <v>0</v>
      </c>
    </row>
    <row r="14" spans="1:9" x14ac:dyDescent="0.25">
      <c r="B14" s="2">
        <f t="shared" si="2"/>
        <v>45444</v>
      </c>
      <c r="C14" s="39">
        <f>B14+14</f>
        <v>45458</v>
      </c>
      <c r="D14" s="4">
        <f>D13+G13-E13</f>
        <v>10204.991373500921</v>
      </c>
      <c r="E14" s="4">
        <f>SUM($G$11:G14)+H14</f>
        <v>238.86859896213284</v>
      </c>
      <c r="F14" s="3">
        <f>C14-B14+1</f>
        <v>15</v>
      </c>
      <c r="G14" s="6">
        <f t="shared" si="1"/>
        <v>33.87722546121207</v>
      </c>
      <c r="H14" s="123">
        <f>H13*I13</f>
        <v>0</v>
      </c>
      <c r="I14" s="118"/>
    </row>
    <row r="15" spans="1:9" x14ac:dyDescent="0.25">
      <c r="B15" s="2">
        <f t="shared" si="2"/>
        <v>45459</v>
      </c>
      <c r="C15" s="39">
        <f t="shared" si="3"/>
        <v>45473</v>
      </c>
      <c r="D15" s="4">
        <f>D14+G14-E14</f>
        <v>10000</v>
      </c>
      <c r="E15" s="4"/>
      <c r="F15" s="3">
        <f>C15-B15+1</f>
        <v>15</v>
      </c>
      <c r="G15" s="6">
        <f t="shared" si="1"/>
        <v>33.196721311475407</v>
      </c>
      <c r="H15" s="123"/>
      <c r="I15" s="118"/>
    </row>
    <row r="16" spans="1:9" x14ac:dyDescent="0.25">
      <c r="B16" s="2">
        <f t="shared" si="2"/>
        <v>45474</v>
      </c>
      <c r="C16" s="39">
        <f t="shared" si="3"/>
        <v>45504</v>
      </c>
      <c r="D16" s="4">
        <f t="shared" ref="D16:D28" si="5">D15+G15-E15</f>
        <v>10033.196721311475</v>
      </c>
      <c r="E16" s="4"/>
      <c r="F16" s="3">
        <f t="shared" ref="F16:F27" si="6">C16-B16+1</f>
        <v>31</v>
      </c>
      <c r="G16" s="6">
        <f t="shared" si="1"/>
        <v>68.83430865358774</v>
      </c>
      <c r="H16" s="54"/>
      <c r="I16" s="119"/>
    </row>
    <row r="17" spans="2:9" x14ac:dyDescent="0.25">
      <c r="B17" s="2">
        <f t="shared" si="2"/>
        <v>45505</v>
      </c>
      <c r="C17" s="39">
        <f t="shared" si="3"/>
        <v>45535</v>
      </c>
      <c r="D17" s="4">
        <f t="shared" si="5"/>
        <v>10102.031029965063</v>
      </c>
      <c r="E17" s="4"/>
      <c r="F17" s="3">
        <f t="shared" si="6"/>
        <v>31</v>
      </c>
      <c r="G17" s="6">
        <f t="shared" si="1"/>
        <v>69.306557148202927</v>
      </c>
      <c r="H17" s="54"/>
      <c r="I17" s="119"/>
    </row>
    <row r="18" spans="2:9" x14ac:dyDescent="0.25">
      <c r="B18" s="2">
        <f t="shared" si="2"/>
        <v>45536</v>
      </c>
      <c r="C18" s="39">
        <f t="shared" si="3"/>
        <v>45565</v>
      </c>
      <c r="D18" s="4">
        <f t="shared" si="5"/>
        <v>10171.337587113265</v>
      </c>
      <c r="E18" s="4"/>
      <c r="F18" s="3">
        <f t="shared" si="6"/>
        <v>30</v>
      </c>
      <c r="G18" s="6">
        <f t="shared" si="1"/>
        <v>67.53101184886674</v>
      </c>
      <c r="H18" s="54"/>
      <c r="I18" s="119"/>
    </row>
    <row r="19" spans="2:9" x14ac:dyDescent="0.25">
      <c r="B19" s="2">
        <f t="shared" si="2"/>
        <v>45566</v>
      </c>
      <c r="C19" s="39">
        <f t="shared" si="3"/>
        <v>45596</v>
      </c>
      <c r="D19" s="4">
        <f t="shared" si="5"/>
        <v>10238.868598962132</v>
      </c>
      <c r="E19" s="4"/>
      <c r="F19" s="3">
        <f t="shared" si="6"/>
        <v>31</v>
      </c>
      <c r="G19" s="6">
        <f t="shared" si="1"/>
        <v>70.245352601076263</v>
      </c>
      <c r="H19" s="54"/>
      <c r="I19" s="119"/>
    </row>
    <row r="20" spans="2:9" x14ac:dyDescent="0.25">
      <c r="B20" s="2">
        <f t="shared" si="2"/>
        <v>45597</v>
      </c>
      <c r="C20" s="39">
        <f t="shared" si="3"/>
        <v>45626</v>
      </c>
      <c r="D20" s="4">
        <f t="shared" si="5"/>
        <v>10309.113951563208</v>
      </c>
      <c r="E20" s="4"/>
      <c r="F20" s="3">
        <f t="shared" si="6"/>
        <v>30</v>
      </c>
      <c r="G20" s="6">
        <f t="shared" si="1"/>
        <v>68.445756563657355</v>
      </c>
      <c r="H20" s="54"/>
      <c r="I20" s="119"/>
    </row>
    <row r="21" spans="2:9" x14ac:dyDescent="0.25">
      <c r="B21" s="2">
        <f t="shared" si="2"/>
        <v>45627</v>
      </c>
      <c r="C21" s="39">
        <f t="shared" si="3"/>
        <v>45657</v>
      </c>
      <c r="D21" s="4">
        <f t="shared" si="5"/>
        <v>10377.559708126864</v>
      </c>
      <c r="E21" s="4"/>
      <c r="F21" s="3">
        <f t="shared" si="6"/>
        <v>31</v>
      </c>
      <c r="G21" s="6">
        <f t="shared" si="1"/>
        <v>71.196864554935942</v>
      </c>
      <c r="H21" s="54"/>
      <c r="I21" s="119"/>
    </row>
    <row r="22" spans="2:9" x14ac:dyDescent="0.25">
      <c r="B22" s="2">
        <f t="shared" si="2"/>
        <v>45658</v>
      </c>
      <c r="C22" s="39">
        <f t="shared" si="3"/>
        <v>45688</v>
      </c>
      <c r="D22" s="4">
        <f t="shared" si="5"/>
        <v>10448.756572681801</v>
      </c>
      <c r="E22" s="4"/>
      <c r="F22" s="3">
        <f t="shared" si="6"/>
        <v>31</v>
      </c>
      <c r="G22" s="6">
        <f t="shared" si="1"/>
        <v>71.685321732251367</v>
      </c>
      <c r="H22" s="54"/>
      <c r="I22" s="119"/>
    </row>
    <row r="23" spans="2:9" x14ac:dyDescent="0.25">
      <c r="B23" s="2">
        <f t="shared" si="2"/>
        <v>45689</v>
      </c>
      <c r="C23" s="39">
        <f t="shared" si="3"/>
        <v>45716</v>
      </c>
      <c r="D23" s="4">
        <f t="shared" si="5"/>
        <v>10520.441894414053</v>
      </c>
      <c r="E23" s="4"/>
      <c r="F23" s="3">
        <f t="shared" si="6"/>
        <v>28</v>
      </c>
      <c r="G23" s="6">
        <f t="shared" si="1"/>
        <v>65.192246493254274</v>
      </c>
      <c r="H23" s="54"/>
      <c r="I23" s="119"/>
    </row>
    <row r="24" spans="2:9" x14ac:dyDescent="0.25">
      <c r="B24" s="2">
        <f t="shared" si="2"/>
        <v>45717</v>
      </c>
      <c r="C24" s="39">
        <f t="shared" si="3"/>
        <v>45747</v>
      </c>
      <c r="D24" s="4">
        <f t="shared" si="5"/>
        <v>10585.634140907307</v>
      </c>
      <c r="E24" s="4"/>
      <c r="F24" s="3">
        <f t="shared" si="6"/>
        <v>31</v>
      </c>
      <c r="G24" s="6">
        <f t="shared" si="1"/>
        <v>72.624391606060783</v>
      </c>
      <c r="H24" s="54"/>
      <c r="I24" s="119"/>
    </row>
    <row r="25" spans="2:9" x14ac:dyDescent="0.25">
      <c r="B25" s="2">
        <f t="shared" si="2"/>
        <v>45748</v>
      </c>
      <c r="C25" s="39">
        <f t="shared" si="3"/>
        <v>45777</v>
      </c>
      <c r="D25" s="4">
        <f t="shared" si="5"/>
        <v>10658.258532513368</v>
      </c>
      <c r="E25" s="4"/>
      <c r="F25" s="3">
        <f t="shared" si="6"/>
        <v>30</v>
      </c>
      <c r="G25" s="6">
        <f t="shared" si="1"/>
        <v>70.763847633900212</v>
      </c>
      <c r="H25" s="54"/>
      <c r="I25" s="119"/>
    </row>
    <row r="26" spans="2:9" x14ac:dyDescent="0.25">
      <c r="B26" s="2">
        <f t="shared" si="2"/>
        <v>45778</v>
      </c>
      <c r="C26" s="39">
        <f t="shared" si="3"/>
        <v>45808</v>
      </c>
      <c r="D26" s="4">
        <f t="shared" si="5"/>
        <v>10729.022380147268</v>
      </c>
      <c r="E26" s="4"/>
      <c r="F26" s="3">
        <f t="shared" si="6"/>
        <v>31</v>
      </c>
      <c r="G26" s="6">
        <f t="shared" si="1"/>
        <v>73.60812895232182</v>
      </c>
      <c r="H26" s="123">
        <f>C5</f>
        <v>10000</v>
      </c>
      <c r="I26" s="118">
        <v>0.5</v>
      </c>
    </row>
    <row r="27" spans="2:9" x14ac:dyDescent="0.25">
      <c r="B27" s="2">
        <f t="shared" si="2"/>
        <v>45809</v>
      </c>
      <c r="C27" s="39">
        <f>B27+14</f>
        <v>45823</v>
      </c>
      <c r="D27" s="4">
        <f t="shared" si="5"/>
        <v>10802.63050909959</v>
      </c>
      <c r="E27" s="4">
        <f>SUM(G15:G27)+H27</f>
        <v>5838.4917005437328</v>
      </c>
      <c r="F27" s="3">
        <f t="shared" si="6"/>
        <v>15</v>
      </c>
      <c r="G27" s="6">
        <f t="shared" si="1"/>
        <v>35.861191444142072</v>
      </c>
      <c r="H27" s="123">
        <f>H26*I26</f>
        <v>5000</v>
      </c>
      <c r="I27" s="118"/>
    </row>
    <row r="28" spans="2:9" x14ac:dyDescent="0.25">
      <c r="B28" s="2">
        <f t="shared" si="2"/>
        <v>45824</v>
      </c>
      <c r="C28" s="39">
        <f t="shared" si="3"/>
        <v>45838</v>
      </c>
      <c r="D28" s="4">
        <f t="shared" si="5"/>
        <v>5000</v>
      </c>
      <c r="E28" s="4"/>
      <c r="F28" s="3">
        <f t="shared" ref="F28:F40" si="7">C28-B28+1</f>
        <v>15</v>
      </c>
      <c r="G28" s="6">
        <f t="shared" ref="G28:G41" si="8">$G$5*F28*D28</f>
        <v>16.598360655737704</v>
      </c>
      <c r="H28" s="123"/>
      <c r="I28" s="118"/>
    </row>
    <row r="29" spans="2:9" x14ac:dyDescent="0.25">
      <c r="B29" s="2">
        <f t="shared" ref="B29:B38" si="9">C28+1</f>
        <v>45839</v>
      </c>
      <c r="C29" s="39">
        <f t="shared" ref="C29:C38" si="10">EOMONTH(B29,0)</f>
        <v>45869</v>
      </c>
      <c r="D29" s="4">
        <f t="shared" ref="D29:D38" si="11">D28+G28-E28</f>
        <v>5016.5983606557375</v>
      </c>
      <c r="E29" s="4"/>
      <c r="F29" s="3">
        <f t="shared" si="7"/>
        <v>31</v>
      </c>
      <c r="G29" s="6">
        <f t="shared" si="8"/>
        <v>34.41715432679387</v>
      </c>
      <c r="H29" s="123"/>
      <c r="I29" s="118"/>
    </row>
    <row r="30" spans="2:9" x14ac:dyDescent="0.25">
      <c r="B30" s="2">
        <f t="shared" si="9"/>
        <v>45870</v>
      </c>
      <c r="C30" s="39">
        <f t="shared" si="10"/>
        <v>45900</v>
      </c>
      <c r="D30" s="4">
        <f t="shared" si="11"/>
        <v>5051.0155149825314</v>
      </c>
      <c r="E30" s="4"/>
      <c r="F30" s="3">
        <f t="shared" si="7"/>
        <v>31</v>
      </c>
      <c r="G30" s="6">
        <f t="shared" si="8"/>
        <v>34.653278574101464</v>
      </c>
      <c r="H30" s="123"/>
      <c r="I30" s="118"/>
    </row>
    <row r="31" spans="2:9" x14ac:dyDescent="0.25">
      <c r="B31" s="2">
        <f t="shared" si="9"/>
        <v>45901</v>
      </c>
      <c r="C31" s="39">
        <f t="shared" si="10"/>
        <v>45930</v>
      </c>
      <c r="D31" s="4">
        <f t="shared" si="11"/>
        <v>5085.6687935566324</v>
      </c>
      <c r="E31" s="4"/>
      <c r="F31" s="3">
        <f t="shared" si="7"/>
        <v>30</v>
      </c>
      <c r="G31" s="6">
        <f t="shared" si="8"/>
        <v>33.76550592443337</v>
      </c>
      <c r="H31" s="123"/>
      <c r="I31" s="118"/>
    </row>
    <row r="32" spans="2:9" x14ac:dyDescent="0.25">
      <c r="B32" s="2">
        <f t="shared" si="9"/>
        <v>45931</v>
      </c>
      <c r="C32" s="39">
        <f t="shared" si="10"/>
        <v>45961</v>
      </c>
      <c r="D32" s="4">
        <f t="shared" si="11"/>
        <v>5119.4342994810659</v>
      </c>
      <c r="E32" s="4"/>
      <c r="F32" s="3">
        <f t="shared" si="7"/>
        <v>31</v>
      </c>
      <c r="G32" s="6">
        <f t="shared" si="8"/>
        <v>35.122676300538131</v>
      </c>
      <c r="H32" s="123"/>
      <c r="I32" s="118"/>
    </row>
    <row r="33" spans="2:9" x14ac:dyDescent="0.25">
      <c r="B33" s="2">
        <f t="shared" si="9"/>
        <v>45962</v>
      </c>
      <c r="C33" s="39">
        <f t="shared" si="10"/>
        <v>45991</v>
      </c>
      <c r="D33" s="4">
        <f t="shared" si="11"/>
        <v>5154.5569757816038</v>
      </c>
      <c r="E33" s="4"/>
      <c r="F33" s="3">
        <f t="shared" si="7"/>
        <v>30</v>
      </c>
      <c r="G33" s="6">
        <f t="shared" si="8"/>
        <v>34.222878281828677</v>
      </c>
      <c r="H33" s="123"/>
      <c r="I33" s="118"/>
    </row>
    <row r="34" spans="2:9" x14ac:dyDescent="0.25">
      <c r="B34" s="2">
        <f t="shared" si="9"/>
        <v>45992</v>
      </c>
      <c r="C34" s="39">
        <f t="shared" si="10"/>
        <v>46022</v>
      </c>
      <c r="D34" s="4">
        <f t="shared" si="11"/>
        <v>5188.7798540634321</v>
      </c>
      <c r="E34" s="4"/>
      <c r="F34" s="3">
        <f t="shared" si="7"/>
        <v>31</v>
      </c>
      <c r="G34" s="6">
        <f t="shared" si="8"/>
        <v>35.598432277467971</v>
      </c>
      <c r="H34" s="123"/>
      <c r="I34" s="118"/>
    </row>
    <row r="35" spans="2:9" x14ac:dyDescent="0.25">
      <c r="B35" s="2">
        <f t="shared" si="9"/>
        <v>46023</v>
      </c>
      <c r="C35" s="39">
        <f t="shared" si="10"/>
        <v>46053</v>
      </c>
      <c r="D35" s="4">
        <f t="shared" si="11"/>
        <v>5224.3782863409006</v>
      </c>
      <c r="E35" s="4"/>
      <c r="F35" s="3">
        <f t="shared" si="7"/>
        <v>31</v>
      </c>
      <c r="G35" s="6">
        <f t="shared" si="8"/>
        <v>35.842660866125684</v>
      </c>
      <c r="H35" s="123"/>
      <c r="I35" s="118"/>
    </row>
    <row r="36" spans="2:9" x14ac:dyDescent="0.25">
      <c r="B36" s="2">
        <f t="shared" si="9"/>
        <v>46054</v>
      </c>
      <c r="C36" s="39">
        <f t="shared" si="10"/>
        <v>46081</v>
      </c>
      <c r="D36" s="4">
        <f t="shared" si="11"/>
        <v>5260.2209472070263</v>
      </c>
      <c r="E36" s="4"/>
      <c r="F36" s="3">
        <f t="shared" si="7"/>
        <v>28</v>
      </c>
      <c r="G36" s="6">
        <f t="shared" si="8"/>
        <v>32.596123246627137</v>
      </c>
      <c r="H36" s="123"/>
      <c r="I36" s="118"/>
    </row>
    <row r="37" spans="2:9" x14ac:dyDescent="0.25">
      <c r="B37" s="2">
        <f t="shared" si="9"/>
        <v>46082</v>
      </c>
      <c r="C37" s="39">
        <f t="shared" si="10"/>
        <v>46112</v>
      </c>
      <c r="D37" s="4">
        <f t="shared" si="11"/>
        <v>5292.8170704536533</v>
      </c>
      <c r="E37" s="4"/>
      <c r="F37" s="3">
        <f t="shared" si="7"/>
        <v>31</v>
      </c>
      <c r="G37" s="6">
        <f t="shared" si="8"/>
        <v>36.312195803030392</v>
      </c>
      <c r="H37" s="123"/>
      <c r="I37" s="118"/>
    </row>
    <row r="38" spans="2:9" x14ac:dyDescent="0.25">
      <c r="B38" s="2">
        <f t="shared" si="9"/>
        <v>46113</v>
      </c>
      <c r="C38" s="39">
        <f t="shared" si="10"/>
        <v>46142</v>
      </c>
      <c r="D38" s="4">
        <f t="shared" si="11"/>
        <v>5329.1292662566839</v>
      </c>
      <c r="E38" s="4"/>
      <c r="F38" s="3">
        <f t="shared" si="7"/>
        <v>30</v>
      </c>
      <c r="G38" s="6">
        <f t="shared" si="8"/>
        <v>35.381923816950106</v>
      </c>
      <c r="H38" s="123"/>
      <c r="I38" s="118"/>
    </row>
    <row r="39" spans="2:9" x14ac:dyDescent="0.25">
      <c r="B39" s="2">
        <f t="shared" ref="B39:B41" si="12">C38+1</f>
        <v>46143</v>
      </c>
      <c r="C39" s="39">
        <f t="shared" ref="C39" si="13">EOMONTH(B39,0)</f>
        <v>46173</v>
      </c>
      <c r="D39" s="4">
        <f t="shared" ref="D39:D41" si="14">D38+G38-E38</f>
        <v>5364.5111900736338</v>
      </c>
      <c r="E39" s="4"/>
      <c r="F39" s="3">
        <f t="shared" si="7"/>
        <v>31</v>
      </c>
      <c r="G39" s="6">
        <f t="shared" si="8"/>
        <v>36.80406447616091</v>
      </c>
      <c r="H39" s="123">
        <f>H26-H27</f>
        <v>5000</v>
      </c>
      <c r="I39" s="118">
        <v>1</v>
      </c>
    </row>
    <row r="40" spans="2:9" x14ac:dyDescent="0.25">
      <c r="B40" s="2">
        <f t="shared" si="12"/>
        <v>46174</v>
      </c>
      <c r="C40" s="39">
        <f>B40+14</f>
        <v>46188</v>
      </c>
      <c r="D40" s="4">
        <f t="shared" si="14"/>
        <v>5401.3152545497951</v>
      </c>
      <c r="E40" s="4">
        <f>SUM(G28:G40)+H40</f>
        <v>5419.2458502718664</v>
      </c>
      <c r="F40" s="3">
        <f t="shared" si="7"/>
        <v>15</v>
      </c>
      <c r="G40" s="6">
        <f t="shared" si="8"/>
        <v>17.930595722071036</v>
      </c>
      <c r="H40" s="123">
        <f>H39*I39</f>
        <v>5000</v>
      </c>
      <c r="I40" s="118"/>
    </row>
    <row r="41" spans="2:9" x14ac:dyDescent="0.25">
      <c r="B41" s="2">
        <f t="shared" si="12"/>
        <v>46189</v>
      </c>
      <c r="C41" s="39">
        <f>B41</f>
        <v>46189</v>
      </c>
      <c r="D41" s="4">
        <f t="shared" si="14"/>
        <v>0</v>
      </c>
      <c r="E41" s="4"/>
      <c r="F41" s="3"/>
      <c r="G41" s="6">
        <f t="shared" si="8"/>
        <v>0</v>
      </c>
      <c r="H41" s="123"/>
      <c r="I41" s="118"/>
    </row>
    <row r="42" spans="2:9" x14ac:dyDescent="0.25">
      <c r="B42" s="2"/>
      <c r="C42" s="39"/>
      <c r="D42" s="4"/>
      <c r="E42" s="4"/>
      <c r="F42" s="3"/>
      <c r="G42" s="6"/>
      <c r="H42" s="123"/>
      <c r="I42" s="118"/>
    </row>
    <row r="43" spans="2:9" x14ac:dyDescent="0.25">
      <c r="B43" s="2"/>
      <c r="C43" s="39"/>
      <c r="D43" s="4"/>
      <c r="E43" s="4"/>
      <c r="F43" s="3"/>
      <c r="G43" s="6"/>
      <c r="H43" s="123"/>
      <c r="I43" s="118"/>
    </row>
    <row r="44" spans="2:9" x14ac:dyDescent="0.25">
      <c r="B44" s="2"/>
      <c r="C44" s="39"/>
      <c r="D44" s="4"/>
      <c r="E44" s="4"/>
      <c r="F44" s="3"/>
      <c r="G44" s="6"/>
      <c r="H44" s="123"/>
      <c r="I44" s="118"/>
    </row>
    <row r="45" spans="2:9" x14ac:dyDescent="0.25">
      <c r="B45" s="15" t="s">
        <v>44</v>
      </c>
      <c r="C45" s="16"/>
      <c r="D45" s="17"/>
      <c r="E45" s="8"/>
      <c r="F45" s="3"/>
      <c r="G45" s="6">
        <f>SUM(G11:G41)</f>
        <v>1496.6061497777323</v>
      </c>
      <c r="H45" s="116"/>
      <c r="I45" s="103"/>
    </row>
    <row r="46" spans="2:9" x14ac:dyDescent="0.25">
      <c r="H46" s="24"/>
      <c r="I46" s="110"/>
    </row>
    <row r="47" spans="2:9" x14ac:dyDescent="0.25">
      <c r="B47" t="s">
        <v>12</v>
      </c>
      <c r="C47" s="41">
        <f>SUM(F11:F43)</f>
        <v>837</v>
      </c>
      <c r="D47" s="38">
        <f>C47/366</f>
        <v>2.2868852459016393</v>
      </c>
      <c r="E47" s="38">
        <f>D47*12</f>
        <v>27.442622950819672</v>
      </c>
      <c r="H47"/>
      <c r="I47" s="111"/>
    </row>
    <row r="48" spans="2:9" x14ac:dyDescent="0.25">
      <c r="B48" s="76" t="s">
        <v>13</v>
      </c>
      <c r="C48" s="77">
        <f>SUM(G11:G43)</f>
        <v>1496.6061497777323</v>
      </c>
      <c r="H48"/>
      <c r="I48" s="111"/>
    </row>
    <row r="49" spans="2:9" x14ac:dyDescent="0.25">
      <c r="B49" t="s">
        <v>16</v>
      </c>
      <c r="C49" s="7">
        <f>C48+C5</f>
        <v>11496.606149777732</v>
      </c>
      <c r="H49"/>
      <c r="I49" s="111"/>
    </row>
    <row r="50" spans="2:9" x14ac:dyDescent="0.25">
      <c r="B50" t="s">
        <v>17</v>
      </c>
      <c r="C50" s="5">
        <f>EFFECT(F5,E47)</f>
        <v>8.4239416385134325E-2</v>
      </c>
      <c r="H50"/>
      <c r="I50" s="111"/>
    </row>
    <row r="51" spans="2:9" x14ac:dyDescent="0.25">
      <c r="H51"/>
      <c r="I51" s="111"/>
    </row>
    <row r="52" spans="2:9" ht="15.75" thickBot="1" x14ac:dyDescent="0.3">
      <c r="H52"/>
      <c r="I52" s="111"/>
    </row>
    <row r="53" spans="2:9" x14ac:dyDescent="0.25">
      <c r="B53" s="63" t="s">
        <v>20</v>
      </c>
      <c r="C53" s="64"/>
      <c r="D53" s="64"/>
      <c r="E53" s="64" t="s">
        <v>23</v>
      </c>
      <c r="F53" s="65"/>
      <c r="H53"/>
      <c r="I53" s="111"/>
    </row>
    <row r="54" spans="2:9" x14ac:dyDescent="0.25">
      <c r="B54" s="43"/>
      <c r="C54" s="24">
        <f>C5</f>
        <v>10000</v>
      </c>
      <c r="D54" s="22"/>
      <c r="E54" s="22"/>
      <c r="F54" s="44">
        <f>SUM(G11:G44)</f>
        <v>1496.6061497777323</v>
      </c>
      <c r="H54"/>
      <c r="I54" s="111"/>
    </row>
    <row r="55" spans="2:9" x14ac:dyDescent="0.25">
      <c r="B55" s="43"/>
      <c r="C55" s="22"/>
      <c r="D55" s="22"/>
      <c r="E55" s="22"/>
      <c r="F55" s="45"/>
      <c r="H55"/>
      <c r="I55" s="111"/>
    </row>
    <row r="56" spans="2:9" x14ac:dyDescent="0.25">
      <c r="B56" s="43" t="s">
        <v>21</v>
      </c>
      <c r="C56" s="22"/>
      <c r="D56" s="22"/>
      <c r="E56" s="22" t="s">
        <v>24</v>
      </c>
      <c r="F56" s="45"/>
      <c r="H56"/>
      <c r="I56" s="111"/>
    </row>
    <row r="57" spans="2:9" ht="15.75" thickBot="1" x14ac:dyDescent="0.3">
      <c r="B57" s="43"/>
      <c r="C57" s="42">
        <f>H14+H27+H40</f>
        <v>10000</v>
      </c>
      <c r="D57" s="22"/>
      <c r="E57" s="22"/>
      <c r="F57" s="46">
        <f>(E14-H14)+(E27-H27)+(E40-H40)</f>
        <v>1496.6061497777321</v>
      </c>
      <c r="H57"/>
      <c r="I57" s="111"/>
    </row>
    <row r="58" spans="2:9" ht="15.75" thickTop="1" x14ac:dyDescent="0.25">
      <c r="B58" s="43"/>
      <c r="C58" s="22"/>
      <c r="D58" s="22"/>
      <c r="E58" s="22"/>
      <c r="F58" s="45"/>
      <c r="H58"/>
      <c r="I58" s="111"/>
    </row>
    <row r="59" spans="2:9" x14ac:dyDescent="0.25">
      <c r="B59" s="43" t="s">
        <v>22</v>
      </c>
      <c r="C59" s="47">
        <f>C54-C57</f>
        <v>0</v>
      </c>
      <c r="D59" s="22"/>
      <c r="E59" s="22" t="s">
        <v>25</v>
      </c>
      <c r="F59" s="45"/>
      <c r="H59"/>
      <c r="I59" s="111"/>
    </row>
    <row r="60" spans="2:9" x14ac:dyDescent="0.25">
      <c r="B60" s="43"/>
      <c r="C60" s="22"/>
      <c r="D60" s="22"/>
      <c r="E60" s="22"/>
      <c r="F60" s="44">
        <f>F54-F57</f>
        <v>0</v>
      </c>
      <c r="H60"/>
      <c r="I60" s="111"/>
    </row>
    <row r="61" spans="2:9" ht="15.75" thickBot="1" x14ac:dyDescent="0.3">
      <c r="B61" s="48"/>
      <c r="C61" s="49"/>
      <c r="D61" s="49"/>
      <c r="E61" s="49"/>
      <c r="F61" s="50"/>
      <c r="H61"/>
      <c r="I61" s="111"/>
    </row>
    <row r="62" spans="2:9" x14ac:dyDescent="0.25">
      <c r="H62"/>
      <c r="I62" s="111"/>
    </row>
    <row r="63" spans="2:9" x14ac:dyDescent="0.25">
      <c r="H63"/>
      <c r="I63" s="111"/>
    </row>
    <row r="64" spans="2:9" x14ac:dyDescent="0.25">
      <c r="H64"/>
      <c r="I64" s="111"/>
    </row>
    <row r="65" spans="8:9" x14ac:dyDescent="0.25">
      <c r="H65"/>
      <c r="I65" s="111"/>
    </row>
    <row r="66" spans="8:9" x14ac:dyDescent="0.25">
      <c r="H66"/>
      <c r="I66" s="111"/>
    </row>
    <row r="67" spans="8:9" x14ac:dyDescent="0.25">
      <c r="H67"/>
      <c r="I67" s="111"/>
    </row>
    <row r="68" spans="8:9" x14ac:dyDescent="0.25">
      <c r="H68"/>
      <c r="I68" s="111"/>
    </row>
    <row r="69" spans="8:9" x14ac:dyDescent="0.25">
      <c r="H69"/>
      <c r="I69" s="111"/>
    </row>
    <row r="70" spans="8:9" x14ac:dyDescent="0.25">
      <c r="H70"/>
      <c r="I70" s="111"/>
    </row>
    <row r="71" spans="8:9" x14ac:dyDescent="0.25">
      <c r="H71"/>
      <c r="I71" s="111"/>
    </row>
    <row r="72" spans="8:9" x14ac:dyDescent="0.25">
      <c r="H72"/>
      <c r="I72" s="111"/>
    </row>
    <row r="73" spans="8:9" x14ac:dyDescent="0.25">
      <c r="H73"/>
      <c r="I73" s="111"/>
    </row>
    <row r="74" spans="8:9" x14ac:dyDescent="0.25">
      <c r="H74"/>
      <c r="I74" s="111"/>
    </row>
    <row r="75" spans="8:9" x14ac:dyDescent="0.25">
      <c r="H75"/>
      <c r="I75" s="111"/>
    </row>
    <row r="76" spans="8:9" x14ac:dyDescent="0.25">
      <c r="H76"/>
      <c r="I76" s="111"/>
    </row>
    <row r="77" spans="8:9" x14ac:dyDescent="0.25">
      <c r="H77"/>
      <c r="I77" s="111"/>
    </row>
    <row r="78" spans="8:9" x14ac:dyDescent="0.25">
      <c r="H78"/>
      <c r="I78" s="111"/>
    </row>
    <row r="79" spans="8:9" x14ac:dyDescent="0.25">
      <c r="H79"/>
      <c r="I79" s="111"/>
    </row>
    <row r="80" spans="8:9" x14ac:dyDescent="0.25">
      <c r="H80"/>
      <c r="I80" s="111"/>
    </row>
    <row r="81" spans="3:9" x14ac:dyDescent="0.25">
      <c r="H81"/>
      <c r="I81" s="111"/>
    </row>
    <row r="82" spans="3:9" x14ac:dyDescent="0.25">
      <c r="H82"/>
      <c r="I82" s="111"/>
    </row>
    <row r="83" spans="3:9" x14ac:dyDescent="0.25">
      <c r="H83"/>
      <c r="I83" s="111"/>
    </row>
    <row r="84" spans="3:9" x14ac:dyDescent="0.25">
      <c r="H84"/>
      <c r="I84" s="111"/>
    </row>
    <row r="87" spans="3:9" x14ac:dyDescent="0.25">
      <c r="C87" s="38"/>
    </row>
  </sheetData>
  <pageMargins left="0.7" right="0.7" top="0.75" bottom="0.75" header="0.3" footer="0.3"/>
  <pageSetup scale="4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I85"/>
  <sheetViews>
    <sheetView topLeftCell="A6" zoomScaleNormal="100" workbookViewId="0">
      <selection activeCell="C81" sqref="C81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4.7109375" style="22" customWidth="1"/>
    <col min="9" max="9" width="19.140625" style="70" customWidth="1"/>
    <col min="10" max="10" width="9.140625" style="22"/>
    <col min="11" max="11" width="10.5703125" style="22" bestFit="1" customWidth="1"/>
    <col min="12" max="16384" width="9.140625" style="22"/>
  </cols>
  <sheetData>
    <row r="1" spans="1:9" ht="23.25" x14ac:dyDescent="0.35">
      <c r="A1" s="21"/>
      <c r="B1" s="21" t="s">
        <v>0</v>
      </c>
      <c r="C1" s="21"/>
      <c r="D1" s="21"/>
      <c r="E1" s="21"/>
      <c r="F1" s="21"/>
      <c r="G1" s="21"/>
    </row>
    <row r="2" spans="1:9" ht="23.25" x14ac:dyDescent="0.35">
      <c r="A2" s="21"/>
      <c r="B2" s="21" t="s">
        <v>31</v>
      </c>
      <c r="C2" s="21"/>
      <c r="D2" s="21"/>
      <c r="E2" s="21"/>
      <c r="F2" s="21"/>
      <c r="G2" s="21"/>
    </row>
    <row r="4" spans="1:9" s="18" customFormat="1" ht="12.75" x14ac:dyDescent="0.2">
      <c r="B4" s="18" t="s">
        <v>1</v>
      </c>
      <c r="C4" s="19" t="s">
        <v>2</v>
      </c>
      <c r="E4" s="23" t="s">
        <v>10</v>
      </c>
      <c r="F4" s="18" t="s">
        <v>15</v>
      </c>
      <c r="G4" s="18" t="s">
        <v>11</v>
      </c>
      <c r="I4" s="108"/>
    </row>
    <row r="5" spans="1:9" x14ac:dyDescent="0.25">
      <c r="B5" s="72">
        <v>45352</v>
      </c>
      <c r="C5" s="20">
        <v>10000</v>
      </c>
      <c r="D5" s="24"/>
      <c r="E5" s="25">
        <v>7.1999999999999995E-2</v>
      </c>
      <c r="F5" s="25">
        <f>E5+0.009</f>
        <v>8.0999999999999989E-2</v>
      </c>
      <c r="G5" s="25">
        <f>F5/366</f>
        <v>2.2131147540983603E-4</v>
      </c>
    </row>
    <row r="6" spans="1:9" x14ac:dyDescent="0.25">
      <c r="B6" s="78"/>
      <c r="C6" s="79"/>
      <c r="D6" s="24"/>
      <c r="E6" s="25"/>
      <c r="F6" s="25"/>
      <c r="G6" s="25"/>
    </row>
    <row r="7" spans="1:9" x14ac:dyDescent="0.25">
      <c r="B7" s="32" t="s">
        <v>41</v>
      </c>
      <c r="C7" s="26"/>
      <c r="E7" s="68"/>
      <c r="F7" s="67"/>
      <c r="G7" s="25"/>
    </row>
    <row r="8" spans="1:9" x14ac:dyDescent="0.25">
      <c r="C8" s="26"/>
      <c r="E8" s="68"/>
      <c r="F8" s="67"/>
      <c r="G8" s="25"/>
    </row>
    <row r="9" spans="1:9" x14ac:dyDescent="0.25">
      <c r="E9" s="26"/>
      <c r="F9" s="67"/>
      <c r="G9" s="25"/>
    </row>
    <row r="10" spans="1:9" s="18" customFormat="1" ht="12.75" x14ac:dyDescent="0.2">
      <c r="B10" s="27" t="s">
        <v>3</v>
      </c>
      <c r="C10" s="27" t="s">
        <v>4</v>
      </c>
      <c r="D10" s="27" t="s">
        <v>5</v>
      </c>
      <c r="E10" s="27" t="s">
        <v>8</v>
      </c>
      <c r="F10" s="27" t="s">
        <v>6</v>
      </c>
      <c r="G10" s="28" t="s">
        <v>9</v>
      </c>
      <c r="H10" s="114" t="s">
        <v>18</v>
      </c>
      <c r="I10" s="122" t="s">
        <v>19</v>
      </c>
    </row>
    <row r="11" spans="1:9" x14ac:dyDescent="0.25">
      <c r="B11" s="29">
        <f>B5</f>
        <v>45352</v>
      </c>
      <c r="C11" s="40">
        <f>EOMONTH(B11,0)</f>
        <v>45382</v>
      </c>
      <c r="D11" s="4">
        <f>C5</f>
        <v>10000</v>
      </c>
      <c r="E11" s="82"/>
      <c r="F11" s="30">
        <f t="shared" ref="F11:F12" si="0">C11-B11+1</f>
        <v>31</v>
      </c>
      <c r="G11" s="31">
        <f>$G$5*F11*D11</f>
        <v>68.606557377049171</v>
      </c>
      <c r="H11" s="121"/>
      <c r="I11" s="118"/>
    </row>
    <row r="12" spans="1:9" x14ac:dyDescent="0.25">
      <c r="B12" s="29">
        <f>C11+1</f>
        <v>45383</v>
      </c>
      <c r="C12" s="40">
        <f t="shared" ref="C12:C13" si="1">EOMONTH(B12,0)</f>
        <v>45412</v>
      </c>
      <c r="D12" s="4">
        <f>D11+G11-E11</f>
        <v>10068.606557377048</v>
      </c>
      <c r="E12" s="4"/>
      <c r="F12" s="30">
        <f t="shared" si="0"/>
        <v>30</v>
      </c>
      <c r="G12" s="31">
        <f t="shared" ref="G12:G67" si="2">$G$5*F12*D12</f>
        <v>66.848945176027925</v>
      </c>
      <c r="H12" s="121"/>
      <c r="I12" s="124"/>
    </row>
    <row r="13" spans="1:9" x14ac:dyDescent="0.25">
      <c r="B13" s="29">
        <f t="shared" ref="B13:B65" si="3">C12+1</f>
        <v>45413</v>
      </c>
      <c r="C13" s="40">
        <f t="shared" si="1"/>
        <v>45443</v>
      </c>
      <c r="D13" s="4">
        <f t="shared" ref="D13" si="4">D12+G12-E12</f>
        <v>10135.455502553077</v>
      </c>
      <c r="E13" s="4"/>
      <c r="F13" s="30">
        <f t="shared" ref="F13:F39" si="5">C13-B13+1</f>
        <v>31</v>
      </c>
      <c r="G13" s="31">
        <f t="shared" si="2"/>
        <v>69.535870947843648</v>
      </c>
      <c r="H13" s="121">
        <f>$C$5</f>
        <v>10000</v>
      </c>
      <c r="I13" s="118">
        <v>0.25</v>
      </c>
    </row>
    <row r="14" spans="1:9" x14ac:dyDescent="0.25">
      <c r="B14" s="29">
        <f t="shared" si="3"/>
        <v>45444</v>
      </c>
      <c r="C14" s="40">
        <f>B14+14</f>
        <v>45458</v>
      </c>
      <c r="D14" s="4">
        <f t="shared" ref="D14:D45" si="6">D13+G13-E13</f>
        <v>10204.991373500921</v>
      </c>
      <c r="E14" s="4">
        <f>SUM($G$11:G14)+I14</f>
        <v>2738.8685989621326</v>
      </c>
      <c r="F14" s="30">
        <f t="shared" si="5"/>
        <v>15</v>
      </c>
      <c r="G14" s="31">
        <f t="shared" si="2"/>
        <v>33.87722546121207</v>
      </c>
      <c r="H14" s="121"/>
      <c r="I14" s="124">
        <f>H13*I13</f>
        <v>2500</v>
      </c>
    </row>
    <row r="15" spans="1:9" x14ac:dyDescent="0.25">
      <c r="B15" s="29">
        <f t="shared" si="3"/>
        <v>45459</v>
      </c>
      <c r="C15" s="40">
        <f>EOMONTH(B15,0)</f>
        <v>45473</v>
      </c>
      <c r="D15" s="4">
        <f t="shared" si="6"/>
        <v>7500.0000000000009</v>
      </c>
      <c r="E15" s="37"/>
      <c r="F15" s="30">
        <f t="shared" si="5"/>
        <v>15</v>
      </c>
      <c r="G15" s="31">
        <f t="shared" si="2"/>
        <v>24.897540983606557</v>
      </c>
      <c r="H15" s="121"/>
      <c r="I15" s="118"/>
    </row>
    <row r="16" spans="1:9" x14ac:dyDescent="0.25">
      <c r="B16" s="29">
        <f t="shared" si="3"/>
        <v>45474</v>
      </c>
      <c r="C16" s="40">
        <f t="shared" ref="C16:C65" si="7">EOMONTH(B16,0)</f>
        <v>45504</v>
      </c>
      <c r="D16" s="4">
        <f t="shared" si="6"/>
        <v>7524.8975409836075</v>
      </c>
      <c r="E16" s="4"/>
      <c r="F16" s="30">
        <f t="shared" si="5"/>
        <v>31</v>
      </c>
      <c r="G16" s="31">
        <f t="shared" si="2"/>
        <v>51.625731490190809</v>
      </c>
      <c r="H16" s="121"/>
      <c r="I16" s="118"/>
    </row>
    <row r="17" spans="2:9" x14ac:dyDescent="0.25">
      <c r="B17" s="29">
        <f t="shared" si="3"/>
        <v>45505</v>
      </c>
      <c r="C17" s="40">
        <f t="shared" si="7"/>
        <v>45535</v>
      </c>
      <c r="D17" s="4">
        <f t="shared" si="6"/>
        <v>7576.523272473798</v>
      </c>
      <c r="E17" s="4"/>
      <c r="F17" s="30">
        <f t="shared" si="5"/>
        <v>31</v>
      </c>
      <c r="G17" s="31">
        <f t="shared" si="2"/>
        <v>51.979917861152202</v>
      </c>
      <c r="H17" s="121"/>
      <c r="I17" s="118"/>
    </row>
    <row r="18" spans="2:9" x14ac:dyDescent="0.25">
      <c r="B18" s="29">
        <f t="shared" si="3"/>
        <v>45536</v>
      </c>
      <c r="C18" s="40">
        <f t="shared" si="7"/>
        <v>45565</v>
      </c>
      <c r="D18" s="4">
        <f t="shared" si="6"/>
        <v>7628.50319033495</v>
      </c>
      <c r="E18" s="4"/>
      <c r="F18" s="30">
        <f t="shared" si="5"/>
        <v>30</v>
      </c>
      <c r="G18" s="31">
        <f t="shared" si="2"/>
        <v>50.648258886650069</v>
      </c>
      <c r="H18" s="121"/>
      <c r="I18" s="118"/>
    </row>
    <row r="19" spans="2:9" x14ac:dyDescent="0.25">
      <c r="B19" s="29">
        <f t="shared" si="3"/>
        <v>45566</v>
      </c>
      <c r="C19" s="40">
        <f t="shared" si="7"/>
        <v>45596</v>
      </c>
      <c r="D19" s="4">
        <f t="shared" si="6"/>
        <v>7679.1514492216002</v>
      </c>
      <c r="E19" s="4"/>
      <c r="F19" s="30">
        <f t="shared" si="5"/>
        <v>31</v>
      </c>
      <c r="G19" s="31">
        <f t="shared" si="2"/>
        <v>52.684014450807204</v>
      </c>
      <c r="H19" s="121"/>
      <c r="I19" s="118"/>
    </row>
    <row r="20" spans="2:9" x14ac:dyDescent="0.25">
      <c r="B20" s="29">
        <f t="shared" si="3"/>
        <v>45597</v>
      </c>
      <c r="C20" s="40">
        <f t="shared" si="7"/>
        <v>45626</v>
      </c>
      <c r="D20" s="4">
        <f t="shared" si="6"/>
        <v>7731.8354636724071</v>
      </c>
      <c r="E20" s="4"/>
      <c r="F20" s="30">
        <f t="shared" si="5"/>
        <v>30</v>
      </c>
      <c r="G20" s="31">
        <f t="shared" si="2"/>
        <v>51.33431742274302</v>
      </c>
      <c r="H20" s="121"/>
      <c r="I20" s="118"/>
    </row>
    <row r="21" spans="2:9" x14ac:dyDescent="0.25">
      <c r="B21" s="29">
        <f t="shared" si="3"/>
        <v>45627</v>
      </c>
      <c r="C21" s="40">
        <f t="shared" si="7"/>
        <v>45657</v>
      </c>
      <c r="D21" s="4">
        <f t="shared" si="6"/>
        <v>7783.16978109515</v>
      </c>
      <c r="E21" s="4"/>
      <c r="F21" s="30">
        <f t="shared" si="5"/>
        <v>31</v>
      </c>
      <c r="G21" s="31">
        <f t="shared" si="2"/>
        <v>53.397648416201967</v>
      </c>
      <c r="H21" s="121"/>
      <c r="I21" s="118"/>
    </row>
    <row r="22" spans="2:9" x14ac:dyDescent="0.25">
      <c r="B22" s="29">
        <f t="shared" si="3"/>
        <v>45658</v>
      </c>
      <c r="C22" s="40">
        <f t="shared" si="7"/>
        <v>45688</v>
      </c>
      <c r="D22" s="4">
        <f t="shared" si="6"/>
        <v>7836.5674295113522</v>
      </c>
      <c r="E22" s="4"/>
      <c r="F22" s="30">
        <f t="shared" si="5"/>
        <v>31</v>
      </c>
      <c r="G22" s="31">
        <f t="shared" si="2"/>
        <v>53.763991299188532</v>
      </c>
      <c r="H22" s="121"/>
      <c r="I22" s="118"/>
    </row>
    <row r="23" spans="2:9" x14ac:dyDescent="0.25">
      <c r="B23" s="29">
        <f t="shared" si="3"/>
        <v>45689</v>
      </c>
      <c r="C23" s="40">
        <f t="shared" si="7"/>
        <v>45716</v>
      </c>
      <c r="D23" s="4">
        <f t="shared" si="6"/>
        <v>7890.3314208105403</v>
      </c>
      <c r="E23" s="4"/>
      <c r="F23" s="30">
        <f t="shared" si="5"/>
        <v>28</v>
      </c>
      <c r="G23" s="31">
        <f t="shared" si="2"/>
        <v>48.894184869940716</v>
      </c>
      <c r="H23" s="121"/>
      <c r="I23" s="118"/>
    </row>
    <row r="24" spans="2:9" x14ac:dyDescent="0.25">
      <c r="B24" s="29">
        <f t="shared" si="3"/>
        <v>45717</v>
      </c>
      <c r="C24" s="40">
        <f t="shared" si="7"/>
        <v>45747</v>
      </c>
      <c r="D24" s="4">
        <f t="shared" si="6"/>
        <v>7939.2256056804808</v>
      </c>
      <c r="E24" s="4"/>
      <c r="F24" s="30">
        <f t="shared" si="5"/>
        <v>31</v>
      </c>
      <c r="G24" s="31">
        <f t="shared" si="2"/>
        <v>54.468293704545587</v>
      </c>
      <c r="H24" s="121"/>
      <c r="I24" s="118"/>
    </row>
    <row r="25" spans="2:9" x14ac:dyDescent="0.25">
      <c r="B25" s="29">
        <f t="shared" si="3"/>
        <v>45748</v>
      </c>
      <c r="C25" s="40">
        <f t="shared" si="7"/>
        <v>45777</v>
      </c>
      <c r="D25" s="4">
        <f t="shared" si="6"/>
        <v>7993.6938993850263</v>
      </c>
      <c r="E25" s="4"/>
      <c r="F25" s="30">
        <f t="shared" si="5"/>
        <v>30</v>
      </c>
      <c r="G25" s="31">
        <f t="shared" si="2"/>
        <v>53.072885725425166</v>
      </c>
      <c r="H25" s="121"/>
      <c r="I25" s="118"/>
    </row>
    <row r="26" spans="2:9" x14ac:dyDescent="0.25">
      <c r="B26" s="29">
        <f t="shared" si="3"/>
        <v>45778</v>
      </c>
      <c r="C26" s="40">
        <f t="shared" si="7"/>
        <v>45808</v>
      </c>
      <c r="D26" s="4">
        <f t="shared" si="6"/>
        <v>8046.7667851104516</v>
      </c>
      <c r="E26" s="4"/>
      <c r="F26" s="30">
        <f t="shared" si="5"/>
        <v>31</v>
      </c>
      <c r="G26" s="31">
        <f t="shared" si="2"/>
        <v>55.206096714241369</v>
      </c>
      <c r="H26" s="121">
        <f>H13-I14</f>
        <v>7500</v>
      </c>
      <c r="I26" s="118">
        <v>0.25</v>
      </c>
    </row>
    <row r="27" spans="2:9" x14ac:dyDescent="0.25">
      <c r="B27" s="29">
        <f t="shared" si="3"/>
        <v>45809</v>
      </c>
      <c r="C27" s="40">
        <f>B27+14</f>
        <v>45823</v>
      </c>
      <c r="D27" s="4">
        <f t="shared" si="6"/>
        <v>8101.9728818246931</v>
      </c>
      <c r="E27" s="4">
        <f>SUM(G15:G27)+I27</f>
        <v>2503.8687754077996</v>
      </c>
      <c r="F27" s="30">
        <f t="shared" si="5"/>
        <v>15</v>
      </c>
      <c r="G27" s="31">
        <f t="shared" si="2"/>
        <v>26.89589358310656</v>
      </c>
      <c r="H27" s="121"/>
      <c r="I27" s="124">
        <f>H26*I26</f>
        <v>1875</v>
      </c>
    </row>
    <row r="28" spans="2:9" x14ac:dyDescent="0.25">
      <c r="B28" s="29">
        <f t="shared" si="3"/>
        <v>45824</v>
      </c>
      <c r="C28" s="40">
        <f t="shared" si="7"/>
        <v>45838</v>
      </c>
      <c r="D28" s="4">
        <f t="shared" si="6"/>
        <v>5625</v>
      </c>
      <c r="E28" s="4"/>
      <c r="F28" s="30">
        <f t="shared" si="5"/>
        <v>15</v>
      </c>
      <c r="G28" s="31">
        <f t="shared" si="2"/>
        <v>18.673155737704914</v>
      </c>
      <c r="H28" s="121"/>
      <c r="I28" s="118"/>
    </row>
    <row r="29" spans="2:9" x14ac:dyDescent="0.25">
      <c r="B29" s="29">
        <f t="shared" si="3"/>
        <v>45839</v>
      </c>
      <c r="C29" s="40">
        <f t="shared" si="7"/>
        <v>45869</v>
      </c>
      <c r="D29" s="4">
        <f t="shared" si="6"/>
        <v>5643.6731557377052</v>
      </c>
      <c r="E29" s="4"/>
      <c r="F29" s="30">
        <f t="shared" si="5"/>
        <v>31</v>
      </c>
      <c r="G29" s="31">
        <f t="shared" si="2"/>
        <v>38.719298617643105</v>
      </c>
      <c r="H29" s="121"/>
      <c r="I29" s="118"/>
    </row>
    <row r="30" spans="2:9" x14ac:dyDescent="0.25">
      <c r="B30" s="29">
        <f t="shared" si="3"/>
        <v>45870</v>
      </c>
      <c r="C30" s="40">
        <f t="shared" si="7"/>
        <v>45900</v>
      </c>
      <c r="D30" s="4">
        <f t="shared" si="6"/>
        <v>5682.3924543553485</v>
      </c>
      <c r="E30" s="4"/>
      <c r="F30" s="30">
        <f t="shared" si="5"/>
        <v>31</v>
      </c>
      <c r="G30" s="31">
        <f t="shared" si="2"/>
        <v>38.984938395864148</v>
      </c>
      <c r="H30" s="121"/>
      <c r="I30" s="118"/>
    </row>
    <row r="31" spans="2:9" x14ac:dyDescent="0.25">
      <c r="B31" s="29">
        <f t="shared" si="3"/>
        <v>45901</v>
      </c>
      <c r="C31" s="40">
        <f t="shared" si="7"/>
        <v>45930</v>
      </c>
      <c r="D31" s="4">
        <f t="shared" si="6"/>
        <v>5721.3773927512129</v>
      </c>
      <c r="E31" s="4"/>
      <c r="F31" s="30">
        <f t="shared" si="5"/>
        <v>30</v>
      </c>
      <c r="G31" s="31">
        <f t="shared" si="2"/>
        <v>37.986194164987552</v>
      </c>
      <c r="H31" s="121"/>
      <c r="I31" s="118"/>
    </row>
    <row r="32" spans="2:9" x14ac:dyDescent="0.25">
      <c r="B32" s="29">
        <f t="shared" si="3"/>
        <v>45931</v>
      </c>
      <c r="C32" s="40">
        <f t="shared" si="7"/>
        <v>45961</v>
      </c>
      <c r="D32" s="4">
        <f t="shared" si="6"/>
        <v>5759.3635869162008</v>
      </c>
      <c r="E32" s="4"/>
      <c r="F32" s="30">
        <f t="shared" si="5"/>
        <v>31</v>
      </c>
      <c r="G32" s="31">
        <f t="shared" si="2"/>
        <v>39.513010838105409</v>
      </c>
      <c r="H32" s="121"/>
      <c r="I32" s="118"/>
    </row>
    <row r="33" spans="2:9" x14ac:dyDescent="0.25">
      <c r="B33" s="29">
        <f t="shared" si="3"/>
        <v>45962</v>
      </c>
      <c r="C33" s="40">
        <f t="shared" si="7"/>
        <v>45991</v>
      </c>
      <c r="D33" s="4">
        <f t="shared" si="6"/>
        <v>5798.8765977543062</v>
      </c>
      <c r="E33" s="4"/>
      <c r="F33" s="30">
        <f t="shared" si="5"/>
        <v>30</v>
      </c>
      <c r="G33" s="31">
        <f t="shared" si="2"/>
        <v>38.50073806705727</v>
      </c>
      <c r="H33" s="121"/>
      <c r="I33" s="118"/>
    </row>
    <row r="34" spans="2:9" x14ac:dyDescent="0.25">
      <c r="B34" s="29">
        <f t="shared" si="3"/>
        <v>45992</v>
      </c>
      <c r="C34" s="40">
        <f t="shared" si="7"/>
        <v>46022</v>
      </c>
      <c r="D34" s="4">
        <f t="shared" si="6"/>
        <v>5837.3773358213639</v>
      </c>
      <c r="E34" s="4"/>
      <c r="F34" s="30">
        <f t="shared" si="5"/>
        <v>31</v>
      </c>
      <c r="G34" s="31">
        <f t="shared" si="2"/>
        <v>40.048236312151481</v>
      </c>
      <c r="H34" s="121"/>
      <c r="I34" s="118"/>
    </row>
    <row r="35" spans="2:9" x14ac:dyDescent="0.25">
      <c r="B35" s="29">
        <f t="shared" si="3"/>
        <v>46023</v>
      </c>
      <c r="C35" s="40">
        <f t="shared" si="7"/>
        <v>46053</v>
      </c>
      <c r="D35" s="4">
        <f t="shared" si="6"/>
        <v>5877.4255721335157</v>
      </c>
      <c r="E35" s="4"/>
      <c r="F35" s="30">
        <f t="shared" si="5"/>
        <v>31</v>
      </c>
      <c r="G35" s="31">
        <f t="shared" si="2"/>
        <v>40.32299347439141</v>
      </c>
      <c r="H35" s="121"/>
      <c r="I35" s="118"/>
    </row>
    <row r="36" spans="2:9" x14ac:dyDescent="0.25">
      <c r="B36" s="29">
        <f t="shared" si="3"/>
        <v>46054</v>
      </c>
      <c r="C36" s="40">
        <f t="shared" si="7"/>
        <v>46081</v>
      </c>
      <c r="D36" s="4">
        <f t="shared" si="6"/>
        <v>5917.748565607907</v>
      </c>
      <c r="E36" s="4"/>
      <c r="F36" s="30">
        <f t="shared" si="5"/>
        <v>28</v>
      </c>
      <c r="G36" s="31">
        <f t="shared" si="2"/>
        <v>36.670638652455544</v>
      </c>
      <c r="H36" s="121"/>
      <c r="I36" s="118"/>
    </row>
    <row r="37" spans="2:9" x14ac:dyDescent="0.25">
      <c r="B37" s="29">
        <f t="shared" si="3"/>
        <v>46082</v>
      </c>
      <c r="C37" s="40">
        <f t="shared" si="7"/>
        <v>46112</v>
      </c>
      <c r="D37" s="4">
        <f t="shared" si="6"/>
        <v>5954.4192042603627</v>
      </c>
      <c r="E37" s="4"/>
      <c r="F37" s="30">
        <f t="shared" si="5"/>
        <v>31</v>
      </c>
      <c r="G37" s="31">
        <f t="shared" si="2"/>
        <v>40.851220278409208</v>
      </c>
      <c r="H37" s="121"/>
      <c r="I37" s="118"/>
    </row>
    <row r="38" spans="2:9" x14ac:dyDescent="0.25">
      <c r="B38" s="29">
        <f t="shared" si="3"/>
        <v>46113</v>
      </c>
      <c r="C38" s="40">
        <f t="shared" si="7"/>
        <v>46142</v>
      </c>
      <c r="D38" s="4">
        <f t="shared" si="6"/>
        <v>5995.2704245387722</v>
      </c>
      <c r="E38" s="4"/>
      <c r="F38" s="30">
        <f t="shared" si="5"/>
        <v>30</v>
      </c>
      <c r="G38" s="31">
        <f t="shared" si="2"/>
        <v>39.804664294068893</v>
      </c>
      <c r="H38" s="121"/>
      <c r="I38" s="118"/>
    </row>
    <row r="39" spans="2:9" x14ac:dyDescent="0.25">
      <c r="B39" s="29">
        <f t="shared" si="3"/>
        <v>46143</v>
      </c>
      <c r="C39" s="40">
        <f t="shared" si="7"/>
        <v>46173</v>
      </c>
      <c r="D39" s="4">
        <f t="shared" si="6"/>
        <v>6035.0750888328412</v>
      </c>
      <c r="E39" s="4"/>
      <c r="F39" s="30">
        <f t="shared" si="5"/>
        <v>31</v>
      </c>
      <c r="G39" s="31">
        <f t="shared" si="2"/>
        <v>41.404572535681048</v>
      </c>
      <c r="H39" s="121">
        <f>H26-I27</f>
        <v>5625</v>
      </c>
      <c r="I39" s="118">
        <v>0.33</v>
      </c>
    </row>
    <row r="40" spans="2:9" x14ac:dyDescent="0.25">
      <c r="B40" s="29">
        <f t="shared" si="3"/>
        <v>46174</v>
      </c>
      <c r="C40" s="40">
        <f>B40+14</f>
        <v>46188</v>
      </c>
      <c r="D40" s="4">
        <f t="shared" si="6"/>
        <v>6076.4796613685221</v>
      </c>
      <c r="E40" s="4">
        <f>SUM(G28:G40)+I40</f>
        <v>2327.90158155585</v>
      </c>
      <c r="F40" s="30">
        <f t="shared" ref="F40:F52" si="8">C40-B40+1</f>
        <v>15</v>
      </c>
      <c r="G40" s="31">
        <f t="shared" si="2"/>
        <v>20.171920187329928</v>
      </c>
      <c r="H40" s="121"/>
      <c r="I40" s="124">
        <f>H39*I39</f>
        <v>1856.25</v>
      </c>
    </row>
    <row r="41" spans="2:9" x14ac:dyDescent="0.25">
      <c r="B41" s="29">
        <f t="shared" si="3"/>
        <v>46189</v>
      </c>
      <c r="C41" s="40">
        <f t="shared" si="7"/>
        <v>46203</v>
      </c>
      <c r="D41" s="4">
        <f t="shared" si="6"/>
        <v>3768.7500000000023</v>
      </c>
      <c r="E41" s="4"/>
      <c r="F41" s="30">
        <f t="shared" si="8"/>
        <v>15</v>
      </c>
      <c r="G41" s="31">
        <f t="shared" si="2"/>
        <v>12.5110143442623</v>
      </c>
      <c r="H41" s="121"/>
      <c r="I41" s="118"/>
    </row>
    <row r="42" spans="2:9" x14ac:dyDescent="0.25">
      <c r="B42" s="29">
        <f t="shared" si="3"/>
        <v>46204</v>
      </c>
      <c r="C42" s="40">
        <f t="shared" si="7"/>
        <v>46234</v>
      </c>
      <c r="D42" s="4">
        <f t="shared" si="6"/>
        <v>3781.2610143442644</v>
      </c>
      <c r="E42" s="4"/>
      <c r="F42" s="30">
        <f t="shared" si="8"/>
        <v>31</v>
      </c>
      <c r="G42" s="31">
        <f t="shared" si="2"/>
        <v>25.941930073820892</v>
      </c>
      <c r="H42" s="121"/>
      <c r="I42" s="118"/>
    </row>
    <row r="43" spans="2:9" x14ac:dyDescent="0.25">
      <c r="B43" s="29">
        <f t="shared" si="3"/>
        <v>46235</v>
      </c>
      <c r="C43" s="40">
        <f t="shared" si="7"/>
        <v>46265</v>
      </c>
      <c r="D43" s="4">
        <f t="shared" si="6"/>
        <v>3807.2029444180853</v>
      </c>
      <c r="E43" s="4"/>
      <c r="F43" s="30">
        <f t="shared" si="8"/>
        <v>31</v>
      </c>
      <c r="G43" s="31">
        <f t="shared" si="2"/>
        <v>26.119908725228992</v>
      </c>
      <c r="H43" s="121"/>
      <c r="I43" s="118"/>
    </row>
    <row r="44" spans="2:9" x14ac:dyDescent="0.25">
      <c r="B44" s="29">
        <f t="shared" si="3"/>
        <v>46266</v>
      </c>
      <c r="C44" s="40">
        <f t="shared" si="7"/>
        <v>46295</v>
      </c>
      <c r="D44" s="4">
        <f t="shared" si="6"/>
        <v>3833.3228531433142</v>
      </c>
      <c r="E44" s="4"/>
      <c r="F44" s="30">
        <f t="shared" si="8"/>
        <v>30</v>
      </c>
      <c r="G44" s="31">
        <f t="shared" si="2"/>
        <v>25.450750090541671</v>
      </c>
      <c r="H44" s="121"/>
      <c r="I44" s="118"/>
    </row>
    <row r="45" spans="2:9" x14ac:dyDescent="0.25">
      <c r="B45" s="29">
        <f t="shared" si="3"/>
        <v>46296</v>
      </c>
      <c r="C45" s="40">
        <f t="shared" si="7"/>
        <v>46326</v>
      </c>
      <c r="D45" s="4">
        <f t="shared" si="6"/>
        <v>3858.7736032338557</v>
      </c>
      <c r="E45" s="4"/>
      <c r="F45" s="30">
        <f t="shared" si="8"/>
        <v>31</v>
      </c>
      <c r="G45" s="31">
        <f t="shared" si="2"/>
        <v>26.473717261530631</v>
      </c>
      <c r="H45" s="121"/>
      <c r="I45" s="118"/>
    </row>
    <row r="46" spans="2:9" x14ac:dyDescent="0.25">
      <c r="B46" s="29">
        <f t="shared" si="3"/>
        <v>46327</v>
      </c>
      <c r="C46" s="40">
        <f t="shared" si="7"/>
        <v>46356</v>
      </c>
      <c r="D46" s="4">
        <f t="shared" ref="D46:D67" si="9">D45+G45-E45</f>
        <v>3885.2473204953862</v>
      </c>
      <c r="E46" s="4"/>
      <c r="F46" s="30">
        <f t="shared" si="8"/>
        <v>30</v>
      </c>
      <c r="G46" s="31">
        <f t="shared" si="2"/>
        <v>25.795494504928378</v>
      </c>
      <c r="H46" s="121"/>
      <c r="I46" s="118"/>
    </row>
    <row r="47" spans="2:9" x14ac:dyDescent="0.25">
      <c r="B47" s="29">
        <f t="shared" si="3"/>
        <v>46357</v>
      </c>
      <c r="C47" s="40">
        <f t="shared" si="7"/>
        <v>46387</v>
      </c>
      <c r="D47" s="4">
        <f t="shared" si="9"/>
        <v>3911.0428150003145</v>
      </c>
      <c r="E47" s="4"/>
      <c r="F47" s="30">
        <f t="shared" si="8"/>
        <v>31</v>
      </c>
      <c r="G47" s="31">
        <f t="shared" si="2"/>
        <v>26.832318329141501</v>
      </c>
      <c r="H47" s="121"/>
      <c r="I47" s="118"/>
    </row>
    <row r="48" spans="2:9" x14ac:dyDescent="0.25">
      <c r="B48" s="29">
        <f t="shared" si="3"/>
        <v>46388</v>
      </c>
      <c r="C48" s="40">
        <f t="shared" si="7"/>
        <v>46418</v>
      </c>
      <c r="D48" s="4">
        <f t="shared" si="9"/>
        <v>3937.8751333294558</v>
      </c>
      <c r="F48" s="30">
        <f t="shared" si="8"/>
        <v>31</v>
      </c>
      <c r="G48" s="31">
        <f t="shared" si="2"/>
        <v>27.016405627842246</v>
      </c>
      <c r="H48" s="121"/>
      <c r="I48" s="118"/>
    </row>
    <row r="49" spans="2:9" x14ac:dyDescent="0.25">
      <c r="B49" s="29">
        <f t="shared" si="3"/>
        <v>46419</v>
      </c>
      <c r="C49" s="40">
        <f t="shared" si="7"/>
        <v>46446</v>
      </c>
      <c r="D49" s="4">
        <f t="shared" si="9"/>
        <v>3964.8915389572981</v>
      </c>
      <c r="E49" s="4"/>
      <c r="F49" s="30">
        <f t="shared" si="8"/>
        <v>28</v>
      </c>
      <c r="G49" s="31">
        <f t="shared" si="2"/>
        <v>24.569327897145218</v>
      </c>
      <c r="H49" s="121"/>
      <c r="I49" s="118"/>
    </row>
    <row r="50" spans="2:9" x14ac:dyDescent="0.25">
      <c r="B50" s="29">
        <f t="shared" si="3"/>
        <v>46447</v>
      </c>
      <c r="C50" s="40">
        <f t="shared" si="7"/>
        <v>46477</v>
      </c>
      <c r="D50" s="4">
        <f t="shared" si="9"/>
        <v>3989.4608668544433</v>
      </c>
      <c r="E50" s="4"/>
      <c r="F50" s="30">
        <f t="shared" si="8"/>
        <v>31</v>
      </c>
      <c r="G50" s="31">
        <f t="shared" si="2"/>
        <v>27.370317586534171</v>
      </c>
      <c r="H50" s="121"/>
      <c r="I50" s="118"/>
    </row>
    <row r="51" spans="2:9" x14ac:dyDescent="0.25">
      <c r="B51" s="29">
        <f t="shared" si="3"/>
        <v>46478</v>
      </c>
      <c r="C51" s="40">
        <f t="shared" si="7"/>
        <v>46507</v>
      </c>
      <c r="D51" s="4">
        <f t="shared" si="9"/>
        <v>4016.8311844409777</v>
      </c>
      <c r="E51" s="4"/>
      <c r="F51" s="30">
        <f t="shared" si="8"/>
        <v>30</v>
      </c>
      <c r="G51" s="31">
        <f t="shared" si="2"/>
        <v>26.669125077026159</v>
      </c>
      <c r="H51" s="121">
        <f>H39-I40</f>
        <v>3768.75</v>
      </c>
      <c r="I51" s="118">
        <v>0.5</v>
      </c>
    </row>
    <row r="52" spans="2:9" x14ac:dyDescent="0.25">
      <c r="B52" s="29">
        <f t="shared" si="3"/>
        <v>46508</v>
      </c>
      <c r="C52" s="40">
        <f t="shared" si="7"/>
        <v>46538</v>
      </c>
      <c r="D52" s="4">
        <f t="shared" si="9"/>
        <v>4043.5003095180041</v>
      </c>
      <c r="E52" s="4"/>
      <c r="F52" s="30">
        <f t="shared" si="8"/>
        <v>31</v>
      </c>
      <c r="G52" s="31">
        <f t="shared" si="2"/>
        <v>27.741063598906305</v>
      </c>
      <c r="H52" s="121"/>
      <c r="I52" s="124">
        <f>H51*I51</f>
        <v>1884.375</v>
      </c>
    </row>
    <row r="53" spans="2:9" x14ac:dyDescent="0.25">
      <c r="B53" s="29">
        <f t="shared" si="3"/>
        <v>46539</v>
      </c>
      <c r="C53" s="40">
        <f>B53+14</f>
        <v>46553</v>
      </c>
      <c r="D53" s="4">
        <f t="shared" si="9"/>
        <v>4071.2413731169104</v>
      </c>
      <c r="E53" s="4">
        <f>SUM(G41:G53)+I52</f>
        <v>2200.3815596424192</v>
      </c>
      <c r="F53" s="30">
        <f>C53-B53+1</f>
        <v>15</v>
      </c>
      <c r="G53" s="31">
        <f t="shared" si="2"/>
        <v>13.515186525511053</v>
      </c>
      <c r="H53" s="121"/>
      <c r="I53" s="124"/>
    </row>
    <row r="54" spans="2:9" x14ac:dyDescent="0.25">
      <c r="B54" s="29">
        <f t="shared" si="3"/>
        <v>46554</v>
      </c>
      <c r="C54" s="40">
        <f t="shared" si="7"/>
        <v>46568</v>
      </c>
      <c r="D54" s="4">
        <f t="shared" si="9"/>
        <v>1884.3750000000023</v>
      </c>
      <c r="E54" s="4"/>
      <c r="F54" s="30">
        <f t="shared" ref="F54:F66" si="10">C54-B54+1</f>
        <v>15</v>
      </c>
      <c r="G54" s="31">
        <f t="shared" si="2"/>
        <v>6.2555071721311544</v>
      </c>
      <c r="H54" s="54"/>
      <c r="I54" s="119"/>
    </row>
    <row r="55" spans="2:9" x14ac:dyDescent="0.25">
      <c r="B55" s="29">
        <f t="shared" si="3"/>
        <v>46569</v>
      </c>
      <c r="C55" s="40">
        <f t="shared" si="7"/>
        <v>46599</v>
      </c>
      <c r="D55" s="4">
        <f t="shared" si="9"/>
        <v>1890.6305071721333</v>
      </c>
      <c r="E55" s="4"/>
      <c r="F55" s="30">
        <f t="shared" si="10"/>
        <v>31</v>
      </c>
      <c r="G55" s="31">
        <f t="shared" si="2"/>
        <v>12.970965036910455</v>
      </c>
      <c r="H55" s="54"/>
      <c r="I55" s="119"/>
    </row>
    <row r="56" spans="2:9" x14ac:dyDescent="0.25">
      <c r="B56" s="29">
        <f t="shared" si="3"/>
        <v>46600</v>
      </c>
      <c r="C56" s="40">
        <f t="shared" si="7"/>
        <v>46630</v>
      </c>
      <c r="D56" s="4">
        <f t="shared" si="9"/>
        <v>1903.6014722090438</v>
      </c>
      <c r="E56" s="4"/>
      <c r="F56" s="30">
        <f t="shared" si="10"/>
        <v>31</v>
      </c>
      <c r="G56" s="31">
        <f t="shared" si="2"/>
        <v>13.059954362614503</v>
      </c>
      <c r="H56" s="54"/>
      <c r="I56" s="119"/>
    </row>
    <row r="57" spans="2:9" x14ac:dyDescent="0.25">
      <c r="B57" s="29">
        <f t="shared" si="3"/>
        <v>46631</v>
      </c>
      <c r="C57" s="40">
        <f t="shared" si="7"/>
        <v>46660</v>
      </c>
      <c r="D57" s="4">
        <f t="shared" si="9"/>
        <v>1916.6614265716582</v>
      </c>
      <c r="E57" s="4"/>
      <c r="F57" s="30">
        <f t="shared" si="10"/>
        <v>30</v>
      </c>
      <c r="G57" s="31">
        <f t="shared" si="2"/>
        <v>12.725375045270843</v>
      </c>
      <c r="H57" s="54"/>
      <c r="I57" s="119"/>
    </row>
    <row r="58" spans="2:9" x14ac:dyDescent="0.25">
      <c r="B58" s="29">
        <f t="shared" si="3"/>
        <v>46661</v>
      </c>
      <c r="C58" s="40">
        <f t="shared" si="7"/>
        <v>46691</v>
      </c>
      <c r="D58" s="4">
        <f t="shared" si="9"/>
        <v>1929.386801616929</v>
      </c>
      <c r="E58" s="4"/>
      <c r="F58" s="30">
        <f t="shared" si="10"/>
        <v>31</v>
      </c>
      <c r="G58" s="31">
        <f t="shared" si="2"/>
        <v>13.236858630765322</v>
      </c>
      <c r="H58" s="54"/>
      <c r="I58" s="119"/>
    </row>
    <row r="59" spans="2:9" x14ac:dyDescent="0.25">
      <c r="B59" s="29">
        <f t="shared" si="3"/>
        <v>46692</v>
      </c>
      <c r="C59" s="40">
        <f t="shared" si="7"/>
        <v>46721</v>
      </c>
      <c r="D59" s="4">
        <f t="shared" si="9"/>
        <v>1942.6236602476943</v>
      </c>
      <c r="E59" s="4"/>
      <c r="F59" s="30">
        <f t="shared" si="10"/>
        <v>30</v>
      </c>
      <c r="G59" s="31">
        <f t="shared" si="2"/>
        <v>12.897747252464198</v>
      </c>
      <c r="H59" s="54"/>
      <c r="I59" s="119"/>
    </row>
    <row r="60" spans="2:9" x14ac:dyDescent="0.25">
      <c r="B60" s="29">
        <f t="shared" si="3"/>
        <v>46722</v>
      </c>
      <c r="C60" s="40">
        <f t="shared" si="7"/>
        <v>46752</v>
      </c>
      <c r="D60" s="4">
        <f t="shared" si="9"/>
        <v>1955.5214075001584</v>
      </c>
      <c r="E60" s="4"/>
      <c r="F60" s="30">
        <f t="shared" si="10"/>
        <v>31</v>
      </c>
      <c r="G60" s="31">
        <f t="shared" si="2"/>
        <v>13.416159164570757</v>
      </c>
      <c r="H60" s="54"/>
      <c r="I60" s="119"/>
    </row>
    <row r="61" spans="2:9" x14ac:dyDescent="0.25">
      <c r="B61" s="29">
        <f t="shared" si="3"/>
        <v>46753</v>
      </c>
      <c r="C61" s="40">
        <f t="shared" si="7"/>
        <v>46783</v>
      </c>
      <c r="D61" s="4">
        <f t="shared" si="9"/>
        <v>1968.937566664729</v>
      </c>
      <c r="E61" s="4"/>
      <c r="F61" s="30">
        <f t="shared" si="10"/>
        <v>31</v>
      </c>
      <c r="G61" s="31">
        <f t="shared" si="2"/>
        <v>13.508202813921132</v>
      </c>
      <c r="H61" s="54"/>
      <c r="I61" s="119"/>
    </row>
    <row r="62" spans="2:9" x14ac:dyDescent="0.25">
      <c r="B62" s="29">
        <f t="shared" si="3"/>
        <v>46784</v>
      </c>
      <c r="C62" s="40">
        <f t="shared" si="7"/>
        <v>46812</v>
      </c>
      <c r="D62" s="4">
        <f t="shared" si="9"/>
        <v>1982.4457694786502</v>
      </c>
      <c r="E62" s="4"/>
      <c r="F62" s="30">
        <f t="shared" si="10"/>
        <v>29</v>
      </c>
      <c r="G62" s="31">
        <f t="shared" si="2"/>
        <v>12.723401946735926</v>
      </c>
      <c r="H62" s="54"/>
      <c r="I62" s="119"/>
    </row>
    <row r="63" spans="2:9" x14ac:dyDescent="0.25">
      <c r="B63" s="29">
        <f t="shared" si="3"/>
        <v>46813</v>
      </c>
      <c r="C63" s="40">
        <f t="shared" si="7"/>
        <v>46843</v>
      </c>
      <c r="D63" s="4">
        <f t="shared" si="9"/>
        <v>1995.1691714253861</v>
      </c>
      <c r="E63" s="4"/>
      <c r="F63" s="30">
        <f t="shared" si="10"/>
        <v>31</v>
      </c>
      <c r="G63" s="31">
        <f t="shared" si="2"/>
        <v>13.688168823631541</v>
      </c>
      <c r="H63" s="54"/>
      <c r="I63" s="119"/>
    </row>
    <row r="64" spans="2:9" x14ac:dyDescent="0.25">
      <c r="B64" s="29">
        <f t="shared" si="3"/>
        <v>46844</v>
      </c>
      <c r="C64" s="40">
        <f t="shared" si="7"/>
        <v>46873</v>
      </c>
      <c r="D64" s="4">
        <f t="shared" si="9"/>
        <v>2008.8573402490176</v>
      </c>
      <c r="E64" s="4"/>
      <c r="F64" s="30">
        <f t="shared" si="10"/>
        <v>30</v>
      </c>
      <c r="G64" s="31">
        <f t="shared" si="2"/>
        <v>13.337495455751672</v>
      </c>
      <c r="H64" s="54"/>
      <c r="I64" s="119"/>
    </row>
    <row r="65" spans="2:9" x14ac:dyDescent="0.25">
      <c r="B65" s="29">
        <f t="shared" si="3"/>
        <v>46874</v>
      </c>
      <c r="C65" s="40">
        <f t="shared" si="7"/>
        <v>46904</v>
      </c>
      <c r="D65" s="4">
        <f t="shared" si="9"/>
        <v>2022.1948357047693</v>
      </c>
      <c r="E65" s="4"/>
      <c r="F65" s="30">
        <f t="shared" si="10"/>
        <v>31</v>
      </c>
      <c r="G65" s="31">
        <f t="shared" si="2"/>
        <v>13.873582602335178</v>
      </c>
      <c r="H65" s="123">
        <f>H51-I52</f>
        <v>1884.375</v>
      </c>
      <c r="I65" s="119">
        <v>1</v>
      </c>
    </row>
    <row r="66" spans="2:9" x14ac:dyDescent="0.25">
      <c r="B66" s="29">
        <f t="shared" ref="B66:B67" si="11">C65+1</f>
        <v>46905</v>
      </c>
      <c r="C66" s="40">
        <f>B66+14</f>
        <v>46919</v>
      </c>
      <c r="D66" s="4">
        <f t="shared" si="9"/>
        <v>2036.0684183071044</v>
      </c>
      <c r="E66" s="4">
        <f>SUM(G54:G66)+I66</f>
        <v>2042.8274978924665</v>
      </c>
      <c r="F66" s="30">
        <f t="shared" si="10"/>
        <v>15</v>
      </c>
      <c r="G66" s="31">
        <f t="shared" si="2"/>
        <v>6.7590795853637466</v>
      </c>
      <c r="H66" s="123"/>
      <c r="I66" s="124">
        <f>H65*I65</f>
        <v>1884.375</v>
      </c>
    </row>
    <row r="67" spans="2:9" x14ac:dyDescent="0.25">
      <c r="B67" s="29">
        <f t="shared" si="11"/>
        <v>46920</v>
      </c>
      <c r="C67" s="40">
        <f>B67</f>
        <v>46920</v>
      </c>
      <c r="D67" s="4">
        <f t="shared" si="9"/>
        <v>0</v>
      </c>
      <c r="E67" s="4"/>
      <c r="F67" s="30"/>
      <c r="G67" s="31">
        <f t="shared" si="2"/>
        <v>0</v>
      </c>
      <c r="H67" s="123"/>
      <c r="I67" s="124">
        <f>H66*I66</f>
        <v>0</v>
      </c>
    </row>
    <row r="68" spans="2:9" x14ac:dyDescent="0.25">
      <c r="B68" s="29"/>
      <c r="C68" s="40"/>
      <c r="D68" s="4"/>
      <c r="E68" s="4"/>
      <c r="F68" s="30"/>
      <c r="G68" s="31"/>
      <c r="H68" s="123"/>
      <c r="I68" s="119"/>
    </row>
    <row r="69" spans="2:9" s="32" customFormat="1" x14ac:dyDescent="0.25">
      <c r="B69" s="33" t="s">
        <v>44</v>
      </c>
      <c r="C69" s="33"/>
      <c r="D69" s="17"/>
      <c r="E69" s="17"/>
      <c r="F69" s="34"/>
      <c r="G69" s="35">
        <f>SUM(G11:G68)</f>
        <v>1813.8480134606682</v>
      </c>
      <c r="H69" s="101"/>
      <c r="I69" s="103"/>
    </row>
    <row r="71" spans="2:9" x14ac:dyDescent="0.25">
      <c r="B71" s="22" t="s">
        <v>12</v>
      </c>
      <c r="C71" s="36">
        <f>SUM(F11:F68)</f>
        <v>1568</v>
      </c>
      <c r="D71" s="38">
        <f>C71/366</f>
        <v>4.2841530054644812</v>
      </c>
      <c r="E71" s="37">
        <f>D71*12</f>
        <v>51.409836065573771</v>
      </c>
    </row>
    <row r="72" spans="2:9" x14ac:dyDescent="0.25">
      <c r="B72" s="80" t="s">
        <v>13</v>
      </c>
      <c r="C72" s="81">
        <f>SUM(G11:G68)</f>
        <v>1813.8480134606682</v>
      </c>
    </row>
    <row r="73" spans="2:9" x14ac:dyDescent="0.25">
      <c r="B73" s="22" t="s">
        <v>16</v>
      </c>
      <c r="C73" s="24">
        <f>C72+C5</f>
        <v>11813.848013460669</v>
      </c>
    </row>
    <row r="74" spans="2:9" x14ac:dyDescent="0.25">
      <c r="B74" s="22" t="s">
        <v>17</v>
      </c>
      <c r="C74" s="25">
        <f>EFFECT(F5,E71)</f>
        <v>8.4301222007693966E-2</v>
      </c>
    </row>
    <row r="75" spans="2:9" x14ac:dyDescent="0.25">
      <c r="C75" s="37"/>
    </row>
    <row r="77" spans="2:9" x14ac:dyDescent="0.25">
      <c r="B77" s="63" t="s">
        <v>20</v>
      </c>
      <c r="C77" s="64"/>
      <c r="D77" s="64"/>
      <c r="E77" s="64" t="s">
        <v>23</v>
      </c>
      <c r="F77" s="65"/>
    </row>
    <row r="78" spans="2:9" x14ac:dyDescent="0.25">
      <c r="B78" s="43"/>
      <c r="C78" s="24">
        <f>C5</f>
        <v>10000</v>
      </c>
      <c r="F78" s="44">
        <f>SUM(G11:G68)</f>
        <v>1813.8480134606682</v>
      </c>
    </row>
    <row r="79" spans="2:9" x14ac:dyDescent="0.25">
      <c r="B79" s="43"/>
      <c r="F79" s="45"/>
    </row>
    <row r="80" spans="2:9" x14ac:dyDescent="0.25">
      <c r="B80" s="43" t="s">
        <v>21</v>
      </c>
      <c r="C80" s="132">
        <f>I66+I52+I40+I27+I14</f>
        <v>10000</v>
      </c>
      <c r="E80" s="22" t="s">
        <v>24</v>
      </c>
      <c r="F80" s="44">
        <f>(E14-I14)+(E27-I27)+(E40-I40)+(E53-I52)+(E66-I66)</f>
        <v>1813.848013460668</v>
      </c>
    </row>
    <row r="81" spans="2:6" ht="15.75" thickBot="1" x14ac:dyDescent="0.3">
      <c r="B81" s="43"/>
      <c r="C81" s="42"/>
      <c r="F81" s="133"/>
    </row>
    <row r="82" spans="2:6" ht="15.75" thickTop="1" x14ac:dyDescent="0.25">
      <c r="B82" s="43"/>
      <c r="F82" s="45"/>
    </row>
    <row r="83" spans="2:6" x14ac:dyDescent="0.25">
      <c r="B83" s="43" t="s">
        <v>22</v>
      </c>
      <c r="C83" s="47">
        <f>C78-C80</f>
        <v>0</v>
      </c>
      <c r="E83" s="22" t="s">
        <v>25</v>
      </c>
      <c r="F83" s="44">
        <f>F78-F80</f>
        <v>0</v>
      </c>
    </row>
    <row r="84" spans="2:6" x14ac:dyDescent="0.25">
      <c r="B84" s="43"/>
      <c r="F84" s="45"/>
    </row>
    <row r="85" spans="2:6" ht="15.75" thickBot="1" x14ac:dyDescent="0.3">
      <c r="B85" s="48"/>
      <c r="C85" s="49"/>
      <c r="D85" s="49"/>
      <c r="E85" s="49"/>
      <c r="F85" s="50"/>
    </row>
  </sheetData>
  <pageMargins left="0.7" right="0.7" top="0.75" bottom="0.75" header="0.3" footer="0.3"/>
  <pageSetup scale="4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D4E6C-0511-4F19-A13F-4FA2C21B474C}">
  <sheetPr>
    <tabColor rgb="FF00B050"/>
  </sheetPr>
  <dimension ref="A1:M98"/>
  <sheetViews>
    <sheetView topLeftCell="A21" zoomScaleNormal="100" workbookViewId="0">
      <selection activeCell="H93" sqref="H93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7.140625" style="22" customWidth="1"/>
    <col min="9" max="9" width="27.140625" style="70" customWidth="1"/>
    <col min="10" max="10" width="9.140625" style="22"/>
    <col min="11" max="11" width="21.42578125" style="22" customWidth="1"/>
    <col min="12" max="12" width="16.28515625" style="22" customWidth="1"/>
    <col min="13" max="13" width="11.28515625" style="22" bestFit="1" customWidth="1"/>
    <col min="14" max="16384" width="9.140625" style="22"/>
  </cols>
  <sheetData>
    <row r="1" spans="1:13" ht="23.25" x14ac:dyDescent="0.35">
      <c r="A1" s="21"/>
      <c r="B1" s="21" t="s">
        <v>0</v>
      </c>
      <c r="C1" s="21"/>
      <c r="D1" s="21"/>
      <c r="E1" s="21"/>
      <c r="F1" s="21"/>
      <c r="G1" s="21"/>
    </row>
    <row r="2" spans="1:13" ht="23.25" x14ac:dyDescent="0.35">
      <c r="A2" s="21"/>
      <c r="B2" s="21" t="s">
        <v>31</v>
      </c>
      <c r="C2" s="21"/>
      <c r="D2" s="21"/>
      <c r="E2" s="21"/>
      <c r="F2" s="21"/>
      <c r="G2" s="21"/>
    </row>
    <row r="4" spans="1:13" s="18" customFormat="1" ht="12.75" x14ac:dyDescent="0.2">
      <c r="B4" s="18" t="s">
        <v>1</v>
      </c>
      <c r="C4" s="19" t="s">
        <v>2</v>
      </c>
      <c r="D4" s="10" t="s">
        <v>7</v>
      </c>
      <c r="E4" s="23" t="s">
        <v>10</v>
      </c>
      <c r="F4" s="18" t="s">
        <v>15</v>
      </c>
      <c r="G4" s="18" t="s">
        <v>11</v>
      </c>
      <c r="I4" s="108"/>
    </row>
    <row r="5" spans="1:13" x14ac:dyDescent="0.25">
      <c r="B5" s="72">
        <v>45352</v>
      </c>
      <c r="C5" s="20">
        <v>10000</v>
      </c>
      <c r="D5" s="7">
        <f>C5/4</f>
        <v>2500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</row>
    <row r="6" spans="1:13" x14ac:dyDescent="0.25">
      <c r="B6" s="78"/>
      <c r="C6" s="79"/>
      <c r="D6" s="24"/>
      <c r="E6" s="25"/>
      <c r="F6" s="25"/>
      <c r="G6" s="25"/>
    </row>
    <row r="7" spans="1:13" x14ac:dyDescent="0.25">
      <c r="B7" s="32" t="s">
        <v>41</v>
      </c>
      <c r="C7" s="26"/>
      <c r="E7" s="68"/>
      <c r="F7" s="67"/>
      <c r="G7" s="25"/>
    </row>
    <row r="8" spans="1:13" x14ac:dyDescent="0.25">
      <c r="C8" s="26"/>
      <c r="E8" s="68"/>
      <c r="F8" s="67"/>
      <c r="G8" s="25"/>
    </row>
    <row r="9" spans="1:13" x14ac:dyDescent="0.25">
      <c r="E9" s="26"/>
      <c r="F9" s="67"/>
      <c r="G9" s="25"/>
    </row>
    <row r="10" spans="1:13" s="18" customFormat="1" ht="12.75" x14ac:dyDescent="0.2">
      <c r="B10" s="27" t="s">
        <v>3</v>
      </c>
      <c r="C10" s="27" t="s">
        <v>4</v>
      </c>
      <c r="D10" s="27" t="s">
        <v>5</v>
      </c>
      <c r="E10" s="27" t="s">
        <v>8</v>
      </c>
      <c r="F10" s="27" t="s">
        <v>6</v>
      </c>
      <c r="G10" s="28" t="s">
        <v>9</v>
      </c>
      <c r="H10" s="114" t="s">
        <v>18</v>
      </c>
      <c r="I10" s="122" t="s">
        <v>19</v>
      </c>
    </row>
    <row r="11" spans="1:13" x14ac:dyDescent="0.25">
      <c r="B11" s="29">
        <f>B5</f>
        <v>45352</v>
      </c>
      <c r="C11" s="40">
        <f>EOMONTH(B11,0)</f>
        <v>45382</v>
      </c>
      <c r="D11" s="4">
        <f>C5</f>
        <v>10000</v>
      </c>
      <c r="E11" s="82"/>
      <c r="F11" s="30">
        <f t="shared" ref="F11:F52" si="0">C11-B11+1</f>
        <v>31</v>
      </c>
      <c r="G11" s="31">
        <f>$G$5*F11*D11</f>
        <v>68.606557377049171</v>
      </c>
      <c r="H11" s="121"/>
      <c r="I11" s="118"/>
      <c r="K11" s="47"/>
      <c r="L11" s="47"/>
      <c r="M11" s="47"/>
    </row>
    <row r="12" spans="1:13" x14ac:dyDescent="0.25">
      <c r="B12" s="29">
        <f>C11+1</f>
        <v>45383</v>
      </c>
      <c r="C12" s="40">
        <f t="shared" ref="C12:C13" si="1">EOMONTH(B12,0)</f>
        <v>45412</v>
      </c>
      <c r="D12" s="4">
        <f>D11+G11-E11</f>
        <v>10068.606557377048</v>
      </c>
      <c r="E12" s="4"/>
      <c r="F12" s="30">
        <f t="shared" si="0"/>
        <v>30</v>
      </c>
      <c r="G12" s="31">
        <f t="shared" ref="G12:G71" si="2">$G$5*F12*D12</f>
        <v>66.848945176027925</v>
      </c>
      <c r="H12" s="121"/>
      <c r="I12" s="124"/>
      <c r="K12" s="47"/>
      <c r="L12" s="47"/>
      <c r="M12" s="47"/>
    </row>
    <row r="13" spans="1:13" x14ac:dyDescent="0.25">
      <c r="B13" s="29">
        <f t="shared" ref="B13:B65" si="3">C12+1</f>
        <v>45413</v>
      </c>
      <c r="C13" s="40">
        <f t="shared" si="1"/>
        <v>45443</v>
      </c>
      <c r="D13" s="4">
        <f t="shared" ref="D13:D71" si="4">D12+G12-E12</f>
        <v>10135.455502553077</v>
      </c>
      <c r="E13" s="4"/>
      <c r="F13" s="30">
        <f t="shared" si="0"/>
        <v>31</v>
      </c>
      <c r="G13" s="31">
        <f t="shared" si="2"/>
        <v>69.535870947843648</v>
      </c>
      <c r="H13" s="121">
        <f>$C$5</f>
        <v>10000</v>
      </c>
      <c r="I13" s="118">
        <v>0</v>
      </c>
      <c r="K13" s="47"/>
      <c r="L13" s="47"/>
      <c r="M13" s="47"/>
    </row>
    <row r="14" spans="1:13" x14ac:dyDescent="0.25">
      <c r="B14" s="29">
        <f t="shared" si="3"/>
        <v>45444</v>
      </c>
      <c r="C14" s="40">
        <f>B14+14</f>
        <v>45458</v>
      </c>
      <c r="D14" s="4">
        <f t="shared" si="4"/>
        <v>10204.991373500921</v>
      </c>
      <c r="E14" s="4">
        <f>SUM($G$11:G14)+I14</f>
        <v>238.86859896213284</v>
      </c>
      <c r="F14" s="30">
        <f t="shared" si="0"/>
        <v>15</v>
      </c>
      <c r="G14" s="31">
        <f t="shared" si="2"/>
        <v>33.87722546121207</v>
      </c>
      <c r="H14" s="121"/>
      <c r="I14" s="124">
        <f>H13*I13</f>
        <v>0</v>
      </c>
      <c r="K14" s="47"/>
      <c r="L14" s="47"/>
      <c r="M14" s="47"/>
    </row>
    <row r="15" spans="1:13" x14ac:dyDescent="0.25">
      <c r="B15" s="29">
        <f t="shared" si="3"/>
        <v>45459</v>
      </c>
      <c r="C15" s="40">
        <f>EOMONTH(B15,0)</f>
        <v>45473</v>
      </c>
      <c r="D15" s="4">
        <f t="shared" si="4"/>
        <v>10000</v>
      </c>
      <c r="E15" s="4"/>
      <c r="F15" s="30">
        <f t="shared" si="0"/>
        <v>15</v>
      </c>
      <c r="G15" s="31">
        <f t="shared" si="2"/>
        <v>33.196721311475407</v>
      </c>
      <c r="H15" s="121"/>
      <c r="I15" s="118"/>
      <c r="K15" s="47"/>
      <c r="L15" s="47"/>
      <c r="M15" s="47"/>
    </row>
    <row r="16" spans="1:13" x14ac:dyDescent="0.25">
      <c r="B16" s="29">
        <f t="shared" si="3"/>
        <v>45474</v>
      </c>
      <c r="C16" s="40">
        <f t="shared" ref="C16:C78" si="5">EOMONTH(B16,0)</f>
        <v>45504</v>
      </c>
      <c r="D16" s="4">
        <f t="shared" si="4"/>
        <v>10033.196721311475</v>
      </c>
      <c r="E16" s="4"/>
      <c r="F16" s="30">
        <f t="shared" si="0"/>
        <v>31</v>
      </c>
      <c r="G16" s="31">
        <f t="shared" si="2"/>
        <v>68.83430865358774</v>
      </c>
      <c r="H16" s="121"/>
      <c r="I16" s="118"/>
    </row>
    <row r="17" spans="2:12" x14ac:dyDescent="0.25">
      <c r="B17" s="29">
        <f t="shared" si="3"/>
        <v>45505</v>
      </c>
      <c r="C17" s="40">
        <f t="shared" si="5"/>
        <v>45535</v>
      </c>
      <c r="D17" s="4">
        <f t="shared" si="4"/>
        <v>10102.031029965063</v>
      </c>
      <c r="E17" s="4"/>
      <c r="F17" s="30">
        <f t="shared" si="0"/>
        <v>31</v>
      </c>
      <c r="G17" s="31">
        <f t="shared" si="2"/>
        <v>69.306557148202927</v>
      </c>
      <c r="H17" s="121"/>
      <c r="I17" s="118"/>
    </row>
    <row r="18" spans="2:12" x14ac:dyDescent="0.25">
      <c r="B18" s="29">
        <f t="shared" si="3"/>
        <v>45536</v>
      </c>
      <c r="C18" s="40">
        <f t="shared" si="5"/>
        <v>45565</v>
      </c>
      <c r="D18" s="4">
        <f t="shared" si="4"/>
        <v>10171.337587113265</v>
      </c>
      <c r="E18" s="4"/>
      <c r="F18" s="30">
        <f t="shared" si="0"/>
        <v>30</v>
      </c>
      <c r="G18" s="31">
        <f t="shared" si="2"/>
        <v>67.53101184886674</v>
      </c>
      <c r="H18" s="121"/>
      <c r="I18" s="118"/>
    </row>
    <row r="19" spans="2:12" x14ac:dyDescent="0.25">
      <c r="B19" s="29">
        <f t="shared" si="3"/>
        <v>45566</v>
      </c>
      <c r="C19" s="40">
        <f t="shared" si="5"/>
        <v>45596</v>
      </c>
      <c r="D19" s="4">
        <f t="shared" si="4"/>
        <v>10238.868598962132</v>
      </c>
      <c r="E19" s="4"/>
      <c r="F19" s="30">
        <f t="shared" si="0"/>
        <v>31</v>
      </c>
      <c r="G19" s="31">
        <f t="shared" si="2"/>
        <v>70.245352601076263</v>
      </c>
      <c r="H19" s="121"/>
      <c r="I19" s="118"/>
    </row>
    <row r="20" spans="2:12" x14ac:dyDescent="0.25">
      <c r="B20" s="29">
        <f t="shared" si="3"/>
        <v>45597</v>
      </c>
      <c r="C20" s="40">
        <f t="shared" si="5"/>
        <v>45626</v>
      </c>
      <c r="D20" s="4">
        <f t="shared" si="4"/>
        <v>10309.113951563208</v>
      </c>
      <c r="E20" s="4"/>
      <c r="F20" s="30">
        <f t="shared" si="0"/>
        <v>30</v>
      </c>
      <c r="G20" s="31">
        <f t="shared" si="2"/>
        <v>68.445756563657355</v>
      </c>
      <c r="H20" s="121"/>
      <c r="I20" s="118"/>
    </row>
    <row r="21" spans="2:12" x14ac:dyDescent="0.25">
      <c r="B21" s="29">
        <f t="shared" si="3"/>
        <v>45627</v>
      </c>
      <c r="C21" s="40">
        <f t="shared" si="5"/>
        <v>45657</v>
      </c>
      <c r="D21" s="4">
        <f t="shared" si="4"/>
        <v>10377.559708126864</v>
      </c>
      <c r="E21" s="4"/>
      <c r="F21" s="30">
        <f t="shared" si="0"/>
        <v>31</v>
      </c>
      <c r="G21" s="31">
        <f t="shared" si="2"/>
        <v>71.196864554935942</v>
      </c>
      <c r="H21" s="121"/>
      <c r="I21" s="118"/>
    </row>
    <row r="22" spans="2:12" x14ac:dyDescent="0.25">
      <c r="B22" s="29">
        <f t="shared" si="3"/>
        <v>45658</v>
      </c>
      <c r="C22" s="40">
        <f t="shared" si="5"/>
        <v>45688</v>
      </c>
      <c r="D22" s="4">
        <f t="shared" si="4"/>
        <v>10448.756572681801</v>
      </c>
      <c r="E22" s="4"/>
      <c r="F22" s="30">
        <f t="shared" si="0"/>
        <v>31</v>
      </c>
      <c r="G22" s="31">
        <f t="shared" si="2"/>
        <v>71.685321732251367</v>
      </c>
      <c r="H22" s="121"/>
      <c r="I22" s="118"/>
    </row>
    <row r="23" spans="2:12" x14ac:dyDescent="0.25">
      <c r="B23" s="29">
        <f t="shared" si="3"/>
        <v>45689</v>
      </c>
      <c r="C23" s="40">
        <f t="shared" si="5"/>
        <v>45716</v>
      </c>
      <c r="D23" s="4">
        <f t="shared" si="4"/>
        <v>10520.441894414053</v>
      </c>
      <c r="E23" s="4"/>
      <c r="F23" s="30">
        <f t="shared" si="0"/>
        <v>28</v>
      </c>
      <c r="G23" s="31">
        <f t="shared" si="2"/>
        <v>65.192246493254274</v>
      </c>
      <c r="H23" s="121"/>
      <c r="I23" s="118"/>
    </row>
    <row r="24" spans="2:12" x14ac:dyDescent="0.25">
      <c r="B24" s="29">
        <f t="shared" si="3"/>
        <v>45717</v>
      </c>
      <c r="C24" s="40">
        <f t="shared" si="5"/>
        <v>45747</v>
      </c>
      <c r="D24" s="4">
        <f t="shared" si="4"/>
        <v>10585.634140907307</v>
      </c>
      <c r="E24" s="4"/>
      <c r="F24" s="30">
        <f t="shared" si="0"/>
        <v>31</v>
      </c>
      <c r="G24" s="31">
        <f t="shared" si="2"/>
        <v>72.624391606060783</v>
      </c>
      <c r="H24" s="121"/>
      <c r="I24" s="118"/>
    </row>
    <row r="25" spans="2:12" x14ac:dyDescent="0.25">
      <c r="B25" s="29">
        <f t="shared" si="3"/>
        <v>45748</v>
      </c>
      <c r="C25" s="40">
        <f t="shared" si="5"/>
        <v>45777</v>
      </c>
      <c r="D25" s="4">
        <f t="shared" si="4"/>
        <v>10658.258532513368</v>
      </c>
      <c r="E25" s="4"/>
      <c r="F25" s="30">
        <f t="shared" si="0"/>
        <v>30</v>
      </c>
      <c r="G25" s="31">
        <f t="shared" si="2"/>
        <v>70.763847633900212</v>
      </c>
      <c r="H25" s="121"/>
      <c r="I25" s="118"/>
      <c r="K25" s="47"/>
      <c r="L25" s="47"/>
    </row>
    <row r="26" spans="2:12" x14ac:dyDescent="0.25">
      <c r="B26" s="29">
        <f t="shared" si="3"/>
        <v>45778</v>
      </c>
      <c r="C26" s="40">
        <f t="shared" si="5"/>
        <v>45808</v>
      </c>
      <c r="D26" s="4">
        <f t="shared" si="4"/>
        <v>10729.022380147268</v>
      </c>
      <c r="E26" s="4"/>
      <c r="F26" s="30">
        <f t="shared" si="0"/>
        <v>31</v>
      </c>
      <c r="G26" s="31">
        <f t="shared" si="2"/>
        <v>73.60812895232182</v>
      </c>
      <c r="H26" s="121">
        <f>H13-I14</f>
        <v>10000</v>
      </c>
      <c r="I26" s="118">
        <v>0.25</v>
      </c>
      <c r="K26" s="47"/>
    </row>
    <row r="27" spans="2:12" x14ac:dyDescent="0.25">
      <c r="B27" s="29">
        <f t="shared" si="3"/>
        <v>45809</v>
      </c>
      <c r="C27" s="40">
        <f>B27+14</f>
        <v>45823</v>
      </c>
      <c r="D27" s="4">
        <f t="shared" si="4"/>
        <v>10802.63050909959</v>
      </c>
      <c r="E27" s="4">
        <f>SUM(G15:G27)+I27</f>
        <v>3338.4917005437328</v>
      </c>
      <c r="F27" s="30">
        <f t="shared" si="0"/>
        <v>15</v>
      </c>
      <c r="G27" s="31">
        <f t="shared" si="2"/>
        <v>35.861191444142072</v>
      </c>
      <c r="H27" s="121"/>
      <c r="I27" s="124">
        <f>H26*I26</f>
        <v>2500</v>
      </c>
    </row>
    <row r="28" spans="2:12" x14ac:dyDescent="0.25">
      <c r="B28" s="29">
        <f t="shared" si="3"/>
        <v>45824</v>
      </c>
      <c r="C28" s="40">
        <f t="shared" si="5"/>
        <v>45838</v>
      </c>
      <c r="D28" s="4">
        <f t="shared" si="4"/>
        <v>7500</v>
      </c>
      <c r="E28" s="4"/>
      <c r="F28" s="30">
        <f t="shared" si="0"/>
        <v>15</v>
      </c>
      <c r="G28" s="31">
        <f t="shared" si="2"/>
        <v>24.897540983606554</v>
      </c>
      <c r="H28" s="121"/>
      <c r="I28" s="118"/>
    </row>
    <row r="29" spans="2:12" x14ac:dyDescent="0.25">
      <c r="B29" s="29">
        <f t="shared" si="3"/>
        <v>45839</v>
      </c>
      <c r="C29" s="40">
        <f t="shared" si="5"/>
        <v>45869</v>
      </c>
      <c r="D29" s="4">
        <f t="shared" si="4"/>
        <v>7524.8975409836066</v>
      </c>
      <c r="E29" s="4"/>
      <c r="F29" s="30">
        <f t="shared" si="0"/>
        <v>31</v>
      </c>
      <c r="G29" s="31">
        <f t="shared" si="2"/>
        <v>51.625731490190802</v>
      </c>
      <c r="H29" s="121"/>
      <c r="I29" s="118"/>
      <c r="K29" s="47"/>
    </row>
    <row r="30" spans="2:12" x14ac:dyDescent="0.25">
      <c r="B30" s="29">
        <f t="shared" si="3"/>
        <v>45870</v>
      </c>
      <c r="C30" s="40">
        <f t="shared" si="5"/>
        <v>45900</v>
      </c>
      <c r="D30" s="4">
        <f t="shared" si="4"/>
        <v>7576.5232724737971</v>
      </c>
      <c r="E30" s="4"/>
      <c r="F30" s="30">
        <f t="shared" si="0"/>
        <v>31</v>
      </c>
      <c r="G30" s="31">
        <f t="shared" si="2"/>
        <v>51.979917861152195</v>
      </c>
      <c r="H30" s="121"/>
      <c r="I30" s="118"/>
    </row>
    <row r="31" spans="2:12" x14ac:dyDescent="0.25">
      <c r="B31" s="29">
        <f t="shared" si="3"/>
        <v>45901</v>
      </c>
      <c r="C31" s="40">
        <f t="shared" si="5"/>
        <v>45930</v>
      </c>
      <c r="D31" s="4">
        <f t="shared" si="4"/>
        <v>7628.5031903349491</v>
      </c>
      <c r="E31" s="4"/>
      <c r="F31" s="30">
        <f t="shared" si="0"/>
        <v>30</v>
      </c>
      <c r="G31" s="31">
        <f t="shared" si="2"/>
        <v>50.648258886650062</v>
      </c>
      <c r="H31" s="121"/>
      <c r="I31" s="118"/>
    </row>
    <row r="32" spans="2:12" x14ac:dyDescent="0.25">
      <c r="B32" s="29">
        <f t="shared" si="3"/>
        <v>45931</v>
      </c>
      <c r="C32" s="40">
        <f t="shared" si="5"/>
        <v>45961</v>
      </c>
      <c r="D32" s="4">
        <f t="shared" si="4"/>
        <v>7679.1514492215993</v>
      </c>
      <c r="E32" s="4"/>
      <c r="F32" s="30">
        <f t="shared" si="0"/>
        <v>31</v>
      </c>
      <c r="G32" s="31">
        <f t="shared" si="2"/>
        <v>52.684014450807197</v>
      </c>
      <c r="H32" s="121"/>
      <c r="I32" s="118"/>
      <c r="K32" s="24"/>
    </row>
    <row r="33" spans="2:11" x14ac:dyDescent="0.25">
      <c r="B33" s="29">
        <f t="shared" si="3"/>
        <v>45962</v>
      </c>
      <c r="C33" s="40">
        <f t="shared" si="5"/>
        <v>45991</v>
      </c>
      <c r="D33" s="4">
        <f t="shared" si="4"/>
        <v>7731.8354636724061</v>
      </c>
      <c r="E33" s="4"/>
      <c r="F33" s="30">
        <f t="shared" si="0"/>
        <v>30</v>
      </c>
      <c r="G33" s="31">
        <f t="shared" si="2"/>
        <v>51.334317422743013</v>
      </c>
      <c r="H33" s="121"/>
      <c r="I33" s="118"/>
      <c r="K33" s="24"/>
    </row>
    <row r="34" spans="2:11" x14ac:dyDescent="0.25">
      <c r="B34" s="29">
        <f t="shared" si="3"/>
        <v>45992</v>
      </c>
      <c r="C34" s="40">
        <f t="shared" si="5"/>
        <v>46022</v>
      </c>
      <c r="D34" s="4">
        <f t="shared" si="4"/>
        <v>7783.1697810951491</v>
      </c>
      <c r="E34" s="4"/>
      <c r="F34" s="30">
        <f t="shared" si="0"/>
        <v>31</v>
      </c>
      <c r="G34" s="31">
        <f t="shared" si="2"/>
        <v>53.39764841620196</v>
      </c>
      <c r="H34" s="121"/>
      <c r="I34" s="118"/>
      <c r="K34" s="24"/>
    </row>
    <row r="35" spans="2:11" x14ac:dyDescent="0.25">
      <c r="B35" s="29">
        <f t="shared" si="3"/>
        <v>46023</v>
      </c>
      <c r="C35" s="40">
        <f t="shared" si="5"/>
        <v>46053</v>
      </c>
      <c r="D35" s="4">
        <f t="shared" si="4"/>
        <v>7836.5674295113513</v>
      </c>
      <c r="E35" s="4"/>
      <c r="F35" s="30">
        <f t="shared" si="0"/>
        <v>31</v>
      </c>
      <c r="G35" s="31">
        <f t="shared" si="2"/>
        <v>53.763991299188525</v>
      </c>
      <c r="H35" s="121"/>
      <c r="I35" s="118"/>
    </row>
    <row r="36" spans="2:11" x14ac:dyDescent="0.25">
      <c r="B36" s="29">
        <f t="shared" si="3"/>
        <v>46054</v>
      </c>
      <c r="C36" s="40">
        <f t="shared" si="5"/>
        <v>46081</v>
      </c>
      <c r="D36" s="4">
        <f t="shared" si="4"/>
        <v>7890.3314208105394</v>
      </c>
      <c r="E36" s="4"/>
      <c r="F36" s="30">
        <f t="shared" si="0"/>
        <v>28</v>
      </c>
      <c r="G36" s="31">
        <f t="shared" si="2"/>
        <v>48.894184869940709</v>
      </c>
      <c r="H36" s="121"/>
      <c r="I36" s="118"/>
    </row>
    <row r="37" spans="2:11" x14ac:dyDescent="0.25">
      <c r="B37" s="29">
        <f t="shared" si="3"/>
        <v>46082</v>
      </c>
      <c r="C37" s="40">
        <f t="shared" si="5"/>
        <v>46112</v>
      </c>
      <c r="D37" s="4">
        <f t="shared" si="4"/>
        <v>7939.2256056804799</v>
      </c>
      <c r="E37" s="4"/>
      <c r="F37" s="30">
        <f t="shared" si="0"/>
        <v>31</v>
      </c>
      <c r="G37" s="31">
        <f t="shared" si="2"/>
        <v>54.46829370454558</v>
      </c>
      <c r="H37" s="121"/>
      <c r="I37" s="118"/>
    </row>
    <row r="38" spans="2:11" x14ac:dyDescent="0.25">
      <c r="B38" s="29">
        <f t="shared" si="3"/>
        <v>46113</v>
      </c>
      <c r="C38" s="40">
        <f t="shared" si="5"/>
        <v>46142</v>
      </c>
      <c r="D38" s="4">
        <f t="shared" si="4"/>
        <v>7993.6938993850254</v>
      </c>
      <c r="E38" s="4"/>
      <c r="F38" s="30">
        <f t="shared" si="0"/>
        <v>30</v>
      </c>
      <c r="G38" s="31">
        <f t="shared" si="2"/>
        <v>53.072885725425159</v>
      </c>
      <c r="H38" s="121"/>
      <c r="I38" s="118"/>
    </row>
    <row r="39" spans="2:11" x14ac:dyDescent="0.25">
      <c r="B39" s="29">
        <f t="shared" si="3"/>
        <v>46143</v>
      </c>
      <c r="C39" s="40">
        <f t="shared" si="5"/>
        <v>46173</v>
      </c>
      <c r="D39" s="4">
        <f t="shared" si="4"/>
        <v>8046.7667851104507</v>
      </c>
      <c r="E39" s="4"/>
      <c r="F39" s="30">
        <f t="shared" si="0"/>
        <v>31</v>
      </c>
      <c r="G39" s="31">
        <f t="shared" si="2"/>
        <v>55.206096714241362</v>
      </c>
      <c r="H39" s="121">
        <f>H26-I27</f>
        <v>7500</v>
      </c>
      <c r="I39" s="118">
        <v>0.25</v>
      </c>
    </row>
    <row r="40" spans="2:11" x14ac:dyDescent="0.25">
      <c r="B40" s="29">
        <f t="shared" si="3"/>
        <v>46174</v>
      </c>
      <c r="C40" s="40">
        <f>B40+14</f>
        <v>46188</v>
      </c>
      <c r="D40" s="4">
        <f t="shared" si="4"/>
        <v>8101.9728818246922</v>
      </c>
      <c r="E40" s="4">
        <f>SUM(G28:G40)+I40</f>
        <v>2503.8687754077996</v>
      </c>
      <c r="F40" s="30">
        <f t="shared" si="0"/>
        <v>15</v>
      </c>
      <c r="G40" s="31">
        <f t="shared" si="2"/>
        <v>26.895893583106556</v>
      </c>
      <c r="H40" s="121"/>
      <c r="I40" s="124">
        <f>H39*I39</f>
        <v>1875</v>
      </c>
    </row>
    <row r="41" spans="2:11" x14ac:dyDescent="0.25">
      <c r="B41" s="29">
        <f t="shared" si="3"/>
        <v>46189</v>
      </c>
      <c r="C41" s="40">
        <f t="shared" si="5"/>
        <v>46203</v>
      </c>
      <c r="D41" s="4">
        <f t="shared" si="4"/>
        <v>5625</v>
      </c>
      <c r="E41" s="4"/>
      <c r="F41" s="30">
        <f t="shared" si="0"/>
        <v>15</v>
      </c>
      <c r="G41" s="31">
        <f t="shared" si="2"/>
        <v>18.673155737704914</v>
      </c>
      <c r="H41" s="121"/>
      <c r="I41" s="118"/>
    </row>
    <row r="42" spans="2:11" x14ac:dyDescent="0.25">
      <c r="B42" s="29">
        <f t="shared" si="3"/>
        <v>46204</v>
      </c>
      <c r="C42" s="40">
        <f t="shared" si="5"/>
        <v>46234</v>
      </c>
      <c r="D42" s="4">
        <f t="shared" si="4"/>
        <v>5643.6731557377052</v>
      </c>
      <c r="F42" s="30">
        <f t="shared" si="0"/>
        <v>31</v>
      </c>
      <c r="G42" s="31">
        <f t="shared" si="2"/>
        <v>38.719298617643105</v>
      </c>
      <c r="H42" s="121"/>
      <c r="I42" s="118"/>
    </row>
    <row r="43" spans="2:11" x14ac:dyDescent="0.25">
      <c r="B43" s="29">
        <f t="shared" si="3"/>
        <v>46235</v>
      </c>
      <c r="C43" s="40">
        <f t="shared" si="5"/>
        <v>46265</v>
      </c>
      <c r="D43" s="4">
        <f t="shared" si="4"/>
        <v>5682.3924543553485</v>
      </c>
      <c r="E43" s="4"/>
      <c r="F43" s="30">
        <f t="shared" si="0"/>
        <v>31</v>
      </c>
      <c r="G43" s="31">
        <f t="shared" si="2"/>
        <v>38.984938395864148</v>
      </c>
      <c r="H43" s="121"/>
      <c r="I43" s="118"/>
    </row>
    <row r="44" spans="2:11" x14ac:dyDescent="0.25">
      <c r="B44" s="29">
        <f t="shared" si="3"/>
        <v>46266</v>
      </c>
      <c r="C44" s="40">
        <f t="shared" si="5"/>
        <v>46295</v>
      </c>
      <c r="D44" s="4">
        <f t="shared" si="4"/>
        <v>5721.3773927512129</v>
      </c>
      <c r="E44" s="4"/>
      <c r="F44" s="30">
        <f t="shared" si="0"/>
        <v>30</v>
      </c>
      <c r="G44" s="31">
        <f t="shared" si="2"/>
        <v>37.986194164987552</v>
      </c>
      <c r="H44" s="121"/>
      <c r="I44" s="118"/>
    </row>
    <row r="45" spans="2:11" x14ac:dyDescent="0.25">
      <c r="B45" s="29">
        <f t="shared" si="3"/>
        <v>46296</v>
      </c>
      <c r="C45" s="40">
        <f t="shared" si="5"/>
        <v>46326</v>
      </c>
      <c r="D45" s="4">
        <f t="shared" si="4"/>
        <v>5759.3635869162008</v>
      </c>
      <c r="E45" s="4"/>
      <c r="F45" s="30">
        <f t="shared" si="0"/>
        <v>31</v>
      </c>
      <c r="G45" s="31">
        <f t="shared" si="2"/>
        <v>39.513010838105409</v>
      </c>
      <c r="H45" s="121"/>
      <c r="I45" s="118"/>
    </row>
    <row r="46" spans="2:11" x14ac:dyDescent="0.25">
      <c r="B46" s="29">
        <f t="shared" si="3"/>
        <v>46327</v>
      </c>
      <c r="C46" s="40">
        <f t="shared" si="5"/>
        <v>46356</v>
      </c>
      <c r="D46" s="4">
        <f t="shared" si="4"/>
        <v>5798.8765977543062</v>
      </c>
      <c r="E46" s="4"/>
      <c r="F46" s="30">
        <f t="shared" si="0"/>
        <v>30</v>
      </c>
      <c r="G46" s="31">
        <f t="shared" si="2"/>
        <v>38.50073806705727</v>
      </c>
      <c r="H46" s="121"/>
      <c r="I46" s="118"/>
    </row>
    <row r="47" spans="2:11" x14ac:dyDescent="0.25">
      <c r="B47" s="29">
        <f t="shared" si="3"/>
        <v>46357</v>
      </c>
      <c r="C47" s="40">
        <f t="shared" si="5"/>
        <v>46387</v>
      </c>
      <c r="D47" s="4">
        <f t="shared" si="4"/>
        <v>5837.3773358213639</v>
      </c>
      <c r="E47" s="4"/>
      <c r="F47" s="30">
        <f t="shared" si="0"/>
        <v>31</v>
      </c>
      <c r="G47" s="31">
        <f t="shared" si="2"/>
        <v>40.048236312151481</v>
      </c>
      <c r="H47" s="121"/>
      <c r="I47" s="118"/>
    </row>
    <row r="48" spans="2:11" x14ac:dyDescent="0.25">
      <c r="B48" s="29">
        <f t="shared" si="3"/>
        <v>46388</v>
      </c>
      <c r="C48" s="40">
        <f t="shared" si="5"/>
        <v>46418</v>
      </c>
      <c r="D48" s="4">
        <f t="shared" si="4"/>
        <v>5877.4255721335157</v>
      </c>
      <c r="E48" s="4"/>
      <c r="F48" s="30">
        <f t="shared" si="0"/>
        <v>31</v>
      </c>
      <c r="G48" s="31">
        <f t="shared" si="2"/>
        <v>40.32299347439141</v>
      </c>
      <c r="H48" s="121"/>
      <c r="I48" s="118"/>
    </row>
    <row r="49" spans="2:11" x14ac:dyDescent="0.25">
      <c r="B49" s="29">
        <f t="shared" si="3"/>
        <v>46419</v>
      </c>
      <c r="C49" s="40">
        <f t="shared" si="5"/>
        <v>46446</v>
      </c>
      <c r="D49" s="4">
        <f t="shared" si="4"/>
        <v>5917.748565607907</v>
      </c>
      <c r="E49" s="4"/>
      <c r="F49" s="30">
        <f t="shared" si="0"/>
        <v>28</v>
      </c>
      <c r="G49" s="31">
        <f t="shared" si="2"/>
        <v>36.670638652455544</v>
      </c>
      <c r="H49" s="121"/>
      <c r="I49" s="118"/>
      <c r="K49" s="47"/>
    </row>
    <row r="50" spans="2:11" x14ac:dyDescent="0.25">
      <c r="B50" s="29">
        <f t="shared" si="3"/>
        <v>46447</v>
      </c>
      <c r="C50" s="40">
        <f t="shared" si="5"/>
        <v>46477</v>
      </c>
      <c r="D50" s="4">
        <f t="shared" si="4"/>
        <v>5954.4192042603627</v>
      </c>
      <c r="E50" s="4"/>
      <c r="F50" s="30">
        <f t="shared" si="0"/>
        <v>31</v>
      </c>
      <c r="G50" s="31">
        <f t="shared" si="2"/>
        <v>40.851220278409208</v>
      </c>
      <c r="H50" s="121"/>
      <c r="I50" s="118"/>
    </row>
    <row r="51" spans="2:11" x14ac:dyDescent="0.25">
      <c r="B51" s="29">
        <f t="shared" si="3"/>
        <v>46478</v>
      </c>
      <c r="C51" s="40">
        <f t="shared" si="5"/>
        <v>46507</v>
      </c>
      <c r="D51" s="4">
        <f t="shared" si="4"/>
        <v>5995.2704245387722</v>
      </c>
      <c r="E51" s="4"/>
      <c r="F51" s="30">
        <f t="shared" si="0"/>
        <v>30</v>
      </c>
      <c r="G51" s="31">
        <f t="shared" si="2"/>
        <v>39.804664294068893</v>
      </c>
      <c r="H51" s="121">
        <f>H39-I40</f>
        <v>5625</v>
      </c>
      <c r="I51" s="118">
        <v>0.33329999999999999</v>
      </c>
    </row>
    <row r="52" spans="2:11" x14ac:dyDescent="0.25">
      <c r="B52" s="29">
        <f t="shared" si="3"/>
        <v>46508</v>
      </c>
      <c r="C52" s="40">
        <f t="shared" si="5"/>
        <v>46538</v>
      </c>
      <c r="D52" s="4">
        <f t="shared" si="4"/>
        <v>6035.0750888328412</v>
      </c>
      <c r="E52" s="4"/>
      <c r="F52" s="30">
        <f t="shared" si="0"/>
        <v>31</v>
      </c>
      <c r="G52" s="31">
        <f t="shared" si="2"/>
        <v>41.404572535681048</v>
      </c>
      <c r="H52" s="121"/>
      <c r="I52" s="124">
        <f>H51*I51</f>
        <v>1874.8125</v>
      </c>
    </row>
    <row r="53" spans="2:11" x14ac:dyDescent="0.25">
      <c r="B53" s="29">
        <f t="shared" si="3"/>
        <v>46539</v>
      </c>
      <c r="C53" s="40">
        <f>B53+14</f>
        <v>46553</v>
      </c>
      <c r="D53" s="4">
        <f t="shared" si="4"/>
        <v>6076.4796613685221</v>
      </c>
      <c r="E53" s="4">
        <f>SUM(G41:G53)+I52</f>
        <v>2346.46408155585</v>
      </c>
      <c r="F53" s="30">
        <f>C53-B53+1</f>
        <v>15</v>
      </c>
      <c r="G53" s="31">
        <f t="shared" si="2"/>
        <v>20.171920187329928</v>
      </c>
      <c r="H53" s="54"/>
      <c r="I53" s="119"/>
    </row>
    <row r="54" spans="2:11" x14ac:dyDescent="0.25">
      <c r="B54" s="29">
        <f t="shared" si="3"/>
        <v>46554</v>
      </c>
      <c r="C54" s="40">
        <f t="shared" si="5"/>
        <v>46568</v>
      </c>
      <c r="D54" s="4">
        <f t="shared" si="4"/>
        <v>3750.1875000000023</v>
      </c>
      <c r="E54" s="4"/>
      <c r="F54" s="30">
        <f t="shared" ref="F54:F71" si="6">C54-B54+1</f>
        <v>15</v>
      </c>
      <c r="G54" s="31">
        <f t="shared" si="2"/>
        <v>12.449392930327875</v>
      </c>
      <c r="H54" s="54"/>
      <c r="I54" s="119"/>
    </row>
    <row r="55" spans="2:11" x14ac:dyDescent="0.25">
      <c r="B55" s="29">
        <f t="shared" si="3"/>
        <v>46569</v>
      </c>
      <c r="C55" s="40">
        <f t="shared" si="5"/>
        <v>46599</v>
      </c>
      <c r="D55" s="4">
        <f t="shared" si="4"/>
        <v>3762.6368929303303</v>
      </c>
      <c r="E55" s="4"/>
      <c r="F55" s="30">
        <f t="shared" si="6"/>
        <v>31</v>
      </c>
      <c r="G55" s="31">
        <f t="shared" si="2"/>
        <v>25.814156388382674</v>
      </c>
      <c r="H55" s="54"/>
      <c r="I55" s="119"/>
    </row>
    <row r="56" spans="2:11" x14ac:dyDescent="0.25">
      <c r="B56" s="29">
        <f t="shared" si="3"/>
        <v>46600</v>
      </c>
      <c r="C56" s="40">
        <f t="shared" si="5"/>
        <v>46630</v>
      </c>
      <c r="D56" s="4">
        <f t="shared" si="4"/>
        <v>3788.4510493187131</v>
      </c>
      <c r="E56" s="4"/>
      <c r="F56" s="30">
        <f t="shared" si="6"/>
        <v>31</v>
      </c>
      <c r="G56" s="31">
        <f t="shared" si="2"/>
        <v>25.991258428522645</v>
      </c>
      <c r="H56" s="54"/>
      <c r="I56" s="119"/>
    </row>
    <row r="57" spans="2:11" x14ac:dyDescent="0.25">
      <c r="B57" s="29">
        <f t="shared" si="3"/>
        <v>46631</v>
      </c>
      <c r="C57" s="40">
        <f t="shared" si="5"/>
        <v>46660</v>
      </c>
      <c r="D57" s="4">
        <f t="shared" si="4"/>
        <v>3814.4423077472356</v>
      </c>
      <c r="E57" s="4"/>
      <c r="F57" s="30">
        <f t="shared" si="6"/>
        <v>30</v>
      </c>
      <c r="G57" s="31">
        <f t="shared" si="2"/>
        <v>25.325395649797215</v>
      </c>
      <c r="H57" s="54"/>
      <c r="I57" s="119"/>
    </row>
    <row r="58" spans="2:11" x14ac:dyDescent="0.25">
      <c r="B58" s="29">
        <f t="shared" si="3"/>
        <v>46661</v>
      </c>
      <c r="C58" s="40">
        <f t="shared" si="5"/>
        <v>46691</v>
      </c>
      <c r="D58" s="4">
        <f t="shared" si="4"/>
        <v>3839.7677033970331</v>
      </c>
      <c r="E58" s="4"/>
      <c r="F58" s="30">
        <f t="shared" si="6"/>
        <v>31</v>
      </c>
      <c r="G58" s="31">
        <f t="shared" si="2"/>
        <v>26.34332432576489</v>
      </c>
      <c r="H58" s="54"/>
      <c r="I58" s="119"/>
    </row>
    <row r="59" spans="2:11" x14ac:dyDescent="0.25">
      <c r="B59" s="29">
        <f t="shared" si="3"/>
        <v>46692</v>
      </c>
      <c r="C59" s="40">
        <f t="shared" si="5"/>
        <v>46721</v>
      </c>
      <c r="D59" s="4">
        <f t="shared" si="4"/>
        <v>3866.1110277227981</v>
      </c>
      <c r="E59" s="4"/>
      <c r="F59" s="30">
        <f t="shared" si="6"/>
        <v>30</v>
      </c>
      <c r="G59" s="31">
        <f t="shared" si="2"/>
        <v>25.668442069307098</v>
      </c>
      <c r="H59" s="54"/>
      <c r="I59" s="119"/>
    </row>
    <row r="60" spans="2:11" x14ac:dyDescent="0.25">
      <c r="B60" s="29">
        <f t="shared" si="3"/>
        <v>46722</v>
      </c>
      <c r="C60" s="40">
        <f t="shared" si="5"/>
        <v>46752</v>
      </c>
      <c r="D60" s="4">
        <f t="shared" si="4"/>
        <v>3891.7794697921054</v>
      </c>
      <c r="E60" s="4"/>
      <c r="F60" s="30">
        <f t="shared" si="6"/>
        <v>31</v>
      </c>
      <c r="G60" s="31">
        <f t="shared" si="2"/>
        <v>26.700159149311411</v>
      </c>
      <c r="H60" s="54"/>
      <c r="I60" s="119"/>
    </row>
    <row r="61" spans="2:11" x14ac:dyDescent="0.25">
      <c r="B61" s="29">
        <f t="shared" si="3"/>
        <v>46753</v>
      </c>
      <c r="C61" s="40">
        <f t="shared" si="5"/>
        <v>46783</v>
      </c>
      <c r="D61" s="4">
        <f t="shared" si="4"/>
        <v>3918.4796289414166</v>
      </c>
      <c r="E61" s="4"/>
      <c r="F61" s="30">
        <f t="shared" si="6"/>
        <v>31</v>
      </c>
      <c r="G61" s="31">
        <f t="shared" si="2"/>
        <v>26.883339749376766</v>
      </c>
      <c r="H61" s="54"/>
      <c r="I61" s="119"/>
    </row>
    <row r="62" spans="2:11" x14ac:dyDescent="0.25">
      <c r="B62" s="29">
        <f t="shared" si="3"/>
        <v>46784</v>
      </c>
      <c r="C62" s="40">
        <f t="shared" si="5"/>
        <v>46812</v>
      </c>
      <c r="D62" s="4">
        <f t="shared" si="4"/>
        <v>3945.3629686907934</v>
      </c>
      <c r="E62" s="4"/>
      <c r="F62" s="30">
        <f t="shared" si="6"/>
        <v>29</v>
      </c>
      <c r="G62" s="31">
        <f t="shared" si="2"/>
        <v>25.321468889220416</v>
      </c>
      <c r="H62" s="54"/>
      <c r="I62" s="119"/>
    </row>
    <row r="63" spans="2:11" x14ac:dyDescent="0.25">
      <c r="B63" s="29">
        <f t="shared" si="3"/>
        <v>46813</v>
      </c>
      <c r="C63" s="40">
        <f t="shared" si="5"/>
        <v>46843</v>
      </c>
      <c r="D63" s="4">
        <f t="shared" si="4"/>
        <v>3970.6844375800138</v>
      </c>
      <c r="E63" s="4"/>
      <c r="F63" s="30">
        <f t="shared" si="6"/>
        <v>31</v>
      </c>
      <c r="G63" s="31">
        <f t="shared" si="2"/>
        <v>27.241498969298945</v>
      </c>
      <c r="H63" s="54"/>
      <c r="I63" s="119"/>
    </row>
    <row r="64" spans="2:11" x14ac:dyDescent="0.25">
      <c r="B64" s="29">
        <f t="shared" si="3"/>
        <v>46844</v>
      </c>
      <c r="C64" s="40">
        <f t="shared" si="5"/>
        <v>46873</v>
      </c>
      <c r="D64" s="4">
        <f t="shared" si="4"/>
        <v>3997.9259365493126</v>
      </c>
      <c r="E64" s="4"/>
      <c r="F64" s="30">
        <f t="shared" si="6"/>
        <v>30</v>
      </c>
      <c r="G64" s="31">
        <f t="shared" si="2"/>
        <v>26.543606627909366</v>
      </c>
      <c r="H64" s="54"/>
      <c r="I64" s="119"/>
    </row>
    <row r="65" spans="2:9" x14ac:dyDescent="0.25">
      <c r="B65" s="29">
        <f t="shared" si="3"/>
        <v>46874</v>
      </c>
      <c r="C65" s="40">
        <f t="shared" si="5"/>
        <v>46904</v>
      </c>
      <c r="D65" s="4">
        <f t="shared" si="4"/>
        <v>4024.469543177222</v>
      </c>
      <c r="E65" s="4"/>
      <c r="F65" s="30">
        <f t="shared" si="6"/>
        <v>31</v>
      </c>
      <c r="G65" s="31">
        <f t="shared" si="2"/>
        <v>27.610500062617497</v>
      </c>
      <c r="H65" s="121">
        <f>H51-I52</f>
        <v>3750.1875</v>
      </c>
      <c r="I65" s="118">
        <v>0.5</v>
      </c>
    </row>
    <row r="66" spans="2:9" x14ac:dyDescent="0.25">
      <c r="B66" s="29">
        <f t="shared" ref="B66:B71" si="7">C65+1</f>
        <v>46905</v>
      </c>
      <c r="C66" s="40">
        <f>B66+14</f>
        <v>46919</v>
      </c>
      <c r="D66" s="4">
        <f t="shared" si="4"/>
        <v>4052.0800432398396</v>
      </c>
      <c r="E66" s="4">
        <f>SUM(G54:G66)+I66</f>
        <v>2190.4378704325591</v>
      </c>
      <c r="F66" s="30">
        <f t="shared" si="6"/>
        <v>15</v>
      </c>
      <c r="G66" s="31">
        <f t="shared" si="2"/>
        <v>13.451577192722416</v>
      </c>
      <c r="H66" s="121"/>
      <c r="I66" s="124">
        <f>H65*I65</f>
        <v>1875.09375</v>
      </c>
    </row>
    <row r="67" spans="2:9" x14ac:dyDescent="0.25">
      <c r="B67" s="29">
        <f t="shared" si="7"/>
        <v>46920</v>
      </c>
      <c r="C67" s="40">
        <f t="shared" si="5"/>
        <v>46934</v>
      </c>
      <c r="D67" s="4">
        <f t="shared" si="4"/>
        <v>1875.0937500000027</v>
      </c>
      <c r="E67" s="4"/>
      <c r="F67" s="30">
        <f t="shared" si="6"/>
        <v>15</v>
      </c>
      <c r="G67" s="31">
        <f t="shared" si="2"/>
        <v>6.2246964651639427</v>
      </c>
      <c r="H67" s="121"/>
      <c r="I67" s="124"/>
    </row>
    <row r="68" spans="2:9" x14ac:dyDescent="0.25">
      <c r="B68" s="29">
        <f t="shared" si="7"/>
        <v>46935</v>
      </c>
      <c r="C68" s="40">
        <f t="shared" si="5"/>
        <v>46965</v>
      </c>
      <c r="D68" s="4">
        <f t="shared" si="4"/>
        <v>1881.3184464651667</v>
      </c>
      <c r="E68" s="4"/>
      <c r="F68" s="30">
        <f t="shared" si="6"/>
        <v>31</v>
      </c>
      <c r="G68" s="31">
        <f t="shared" si="2"/>
        <v>12.907078194191348</v>
      </c>
      <c r="H68" s="121"/>
      <c r="I68" s="124"/>
    </row>
    <row r="69" spans="2:9" x14ac:dyDescent="0.25">
      <c r="B69" s="29">
        <f t="shared" si="7"/>
        <v>46966</v>
      </c>
      <c r="C69" s="40">
        <f t="shared" si="5"/>
        <v>46996</v>
      </c>
      <c r="D69" s="4">
        <f t="shared" si="4"/>
        <v>1894.2255246593581</v>
      </c>
      <c r="E69" s="4"/>
      <c r="F69" s="30">
        <f t="shared" si="6"/>
        <v>31</v>
      </c>
      <c r="G69" s="31">
        <f t="shared" si="2"/>
        <v>12.995629214261333</v>
      </c>
      <c r="H69" s="121"/>
      <c r="I69" s="124"/>
    </row>
    <row r="70" spans="2:9" x14ac:dyDescent="0.25">
      <c r="B70" s="29">
        <f t="shared" si="7"/>
        <v>46997</v>
      </c>
      <c r="C70" s="40">
        <f t="shared" si="5"/>
        <v>47026</v>
      </c>
      <c r="D70" s="4">
        <f t="shared" si="4"/>
        <v>1907.2211538736194</v>
      </c>
      <c r="E70" s="4"/>
      <c r="F70" s="30">
        <f t="shared" si="6"/>
        <v>30</v>
      </c>
      <c r="G70" s="31">
        <f t="shared" si="2"/>
        <v>12.662697824898618</v>
      </c>
      <c r="H70" s="121"/>
      <c r="I70" s="124"/>
    </row>
    <row r="71" spans="2:9" x14ac:dyDescent="0.25">
      <c r="B71" s="29">
        <f t="shared" si="7"/>
        <v>47027</v>
      </c>
      <c r="C71" s="40">
        <f t="shared" si="5"/>
        <v>47057</v>
      </c>
      <c r="D71" s="4">
        <f t="shared" si="4"/>
        <v>1919.8838516985181</v>
      </c>
      <c r="E71" s="4"/>
      <c r="F71" s="30">
        <f t="shared" si="6"/>
        <v>31</v>
      </c>
      <c r="G71" s="31">
        <f t="shared" si="2"/>
        <v>13.171662162882456</v>
      </c>
      <c r="H71" s="121"/>
      <c r="I71" s="124"/>
    </row>
    <row r="72" spans="2:9" x14ac:dyDescent="0.25">
      <c r="B72" s="29">
        <f t="shared" ref="B72:B80" si="8">C71+1</f>
        <v>47058</v>
      </c>
      <c r="C72" s="40">
        <f t="shared" si="5"/>
        <v>47087</v>
      </c>
      <c r="D72" s="4">
        <f t="shared" ref="D72:D80" si="9">D71+G71-E71</f>
        <v>1933.0555138614006</v>
      </c>
      <c r="E72" s="4"/>
      <c r="F72" s="30">
        <f t="shared" ref="F72:F79" si="10">C72-B72+1</f>
        <v>30</v>
      </c>
      <c r="G72" s="31">
        <f t="shared" ref="G72:G80" si="11">$G$5*F72*D72</f>
        <v>12.834221034653559</v>
      </c>
      <c r="H72" s="121"/>
      <c r="I72" s="124"/>
    </row>
    <row r="73" spans="2:9" x14ac:dyDescent="0.25">
      <c r="B73" s="29">
        <f t="shared" si="8"/>
        <v>47088</v>
      </c>
      <c r="C73" s="40">
        <f t="shared" si="5"/>
        <v>47118</v>
      </c>
      <c r="D73" s="4">
        <f t="shared" si="9"/>
        <v>1945.8897348960543</v>
      </c>
      <c r="E73" s="4"/>
      <c r="F73" s="30">
        <f t="shared" si="10"/>
        <v>31</v>
      </c>
      <c r="G73" s="31">
        <f t="shared" si="11"/>
        <v>13.350079574655716</v>
      </c>
      <c r="H73" s="121"/>
      <c r="I73" s="124"/>
    </row>
    <row r="74" spans="2:9" x14ac:dyDescent="0.25">
      <c r="B74" s="29">
        <f t="shared" si="8"/>
        <v>47119</v>
      </c>
      <c r="C74" s="40">
        <f t="shared" si="5"/>
        <v>47149</v>
      </c>
      <c r="D74" s="4">
        <f t="shared" si="9"/>
        <v>1959.2398144707099</v>
      </c>
      <c r="E74" s="4"/>
      <c r="F74" s="30">
        <f t="shared" si="10"/>
        <v>31</v>
      </c>
      <c r="G74" s="31">
        <f t="shared" si="11"/>
        <v>13.441669874688394</v>
      </c>
      <c r="H74" s="121"/>
      <c r="I74" s="124"/>
    </row>
    <row r="75" spans="2:9" x14ac:dyDescent="0.25">
      <c r="B75" s="29">
        <f t="shared" si="8"/>
        <v>47150</v>
      </c>
      <c r="C75" s="40">
        <f t="shared" si="5"/>
        <v>47177</v>
      </c>
      <c r="D75" s="4">
        <f t="shared" si="9"/>
        <v>1972.6814843453983</v>
      </c>
      <c r="E75" s="4"/>
      <c r="F75" s="30">
        <f t="shared" si="10"/>
        <v>28</v>
      </c>
      <c r="G75" s="31">
        <f t="shared" si="11"/>
        <v>12.224157394796071</v>
      </c>
      <c r="H75" s="121"/>
      <c r="I75" s="124"/>
    </row>
    <row r="76" spans="2:9" x14ac:dyDescent="0.25">
      <c r="B76" s="29">
        <f t="shared" si="8"/>
        <v>47178</v>
      </c>
      <c r="C76" s="40">
        <f t="shared" si="5"/>
        <v>47208</v>
      </c>
      <c r="D76" s="4">
        <f t="shared" si="9"/>
        <v>1984.9056417401944</v>
      </c>
      <c r="E76" s="4"/>
      <c r="F76" s="30">
        <f t="shared" si="10"/>
        <v>31</v>
      </c>
      <c r="G76" s="31">
        <f t="shared" si="11"/>
        <v>13.617754279807725</v>
      </c>
      <c r="H76" s="121"/>
      <c r="I76" s="124"/>
    </row>
    <row r="77" spans="2:9" x14ac:dyDescent="0.25">
      <c r="B77" s="29">
        <f t="shared" si="8"/>
        <v>47209</v>
      </c>
      <c r="C77" s="40">
        <f t="shared" si="5"/>
        <v>47238</v>
      </c>
      <c r="D77" s="4">
        <f t="shared" si="9"/>
        <v>1998.5233960200021</v>
      </c>
      <c r="E77" s="4"/>
      <c r="F77" s="30">
        <f t="shared" si="10"/>
        <v>30</v>
      </c>
      <c r="G77" s="31">
        <f t="shared" si="11"/>
        <v>13.26888484242788</v>
      </c>
      <c r="H77" s="121"/>
      <c r="I77" s="124"/>
    </row>
    <row r="78" spans="2:9" x14ac:dyDescent="0.25">
      <c r="B78" s="29">
        <f t="shared" si="8"/>
        <v>47239</v>
      </c>
      <c r="C78" s="40">
        <f t="shared" si="5"/>
        <v>47269</v>
      </c>
      <c r="D78" s="4">
        <f t="shared" si="9"/>
        <v>2011.7922808624301</v>
      </c>
      <c r="E78" s="4"/>
      <c r="F78" s="30">
        <f t="shared" si="10"/>
        <v>31</v>
      </c>
      <c r="G78" s="31">
        <f t="shared" si="11"/>
        <v>13.802214254769293</v>
      </c>
      <c r="H78" s="121">
        <f>H65-I66</f>
        <v>1875.09375</v>
      </c>
      <c r="I78" s="118">
        <v>1</v>
      </c>
    </row>
    <row r="79" spans="2:9" x14ac:dyDescent="0.25">
      <c r="B79" s="29">
        <f t="shared" si="8"/>
        <v>47270</v>
      </c>
      <c r="C79" s="40">
        <f>B79+14</f>
        <v>47284</v>
      </c>
      <c r="D79" s="4">
        <f t="shared" si="9"/>
        <v>2025.5944951171994</v>
      </c>
      <c r="E79" s="4">
        <f>SUM(G67:G79)+I79</f>
        <v>2032.3188047116428</v>
      </c>
      <c r="F79" s="30">
        <f t="shared" si="10"/>
        <v>15</v>
      </c>
      <c r="G79" s="31">
        <f t="shared" si="11"/>
        <v>6.7243095944464395</v>
      </c>
      <c r="H79" s="121"/>
      <c r="I79" s="124">
        <f>H78*I78</f>
        <v>1875.09375</v>
      </c>
    </row>
    <row r="80" spans="2:9" x14ac:dyDescent="0.25">
      <c r="B80" s="29">
        <f t="shared" si="8"/>
        <v>47285</v>
      </c>
      <c r="C80" s="40">
        <f>B80</f>
        <v>47285</v>
      </c>
      <c r="D80" s="4">
        <f t="shared" si="9"/>
        <v>2.9558577807620168E-12</v>
      </c>
      <c r="E80" s="4"/>
      <c r="F80" s="30"/>
      <c r="G80" s="31">
        <f t="shared" si="11"/>
        <v>0</v>
      </c>
      <c r="H80" s="121"/>
      <c r="I80" s="124">
        <f>H79*I79</f>
        <v>0</v>
      </c>
    </row>
    <row r="81" spans="2:9" x14ac:dyDescent="0.25">
      <c r="B81" s="29"/>
      <c r="C81" s="40"/>
      <c r="D81" s="4"/>
      <c r="E81" s="4"/>
      <c r="F81" s="30"/>
      <c r="G81" s="31"/>
      <c r="H81" s="121"/>
      <c r="I81" s="124"/>
    </row>
    <row r="82" spans="2:9" s="32" customFormat="1" x14ac:dyDescent="0.25">
      <c r="B82" s="33" t="s">
        <v>44</v>
      </c>
      <c r="C82" s="33"/>
      <c r="D82" s="17"/>
      <c r="E82" s="17"/>
      <c r="F82" s="34"/>
      <c r="G82" s="35">
        <f>SUM(G11:G80)</f>
        <v>2650.4498316137183</v>
      </c>
      <c r="H82" s="101"/>
      <c r="I82" s="103"/>
    </row>
    <row r="84" spans="2:9" x14ac:dyDescent="0.25">
      <c r="B84" s="22" t="s">
        <v>12</v>
      </c>
      <c r="C84" s="36">
        <f>SUM(F11:F81)</f>
        <v>1933</v>
      </c>
      <c r="D84" s="38">
        <f>C84/366</f>
        <v>5.2814207650273222</v>
      </c>
      <c r="E84" s="37">
        <f>D84*12</f>
        <v>63.377049180327866</v>
      </c>
    </row>
    <row r="85" spans="2:9" x14ac:dyDescent="0.25">
      <c r="B85" s="80" t="s">
        <v>13</v>
      </c>
      <c r="C85" s="81">
        <f>SUM(G11:G81)</f>
        <v>2650.4498316137183</v>
      </c>
    </row>
    <row r="86" spans="2:9" x14ac:dyDescent="0.25">
      <c r="B86" s="22" t="s">
        <v>16</v>
      </c>
      <c r="C86" s="24">
        <f>C85+C5</f>
        <v>12650.449831613718</v>
      </c>
    </row>
    <row r="87" spans="2:9" x14ac:dyDescent="0.25">
      <c r="B87" s="22" t="s">
        <v>17</v>
      </c>
      <c r="C87" s="25">
        <f>EFFECT(F5,E84)</f>
        <v>8.43144816443675E-2</v>
      </c>
    </row>
    <row r="88" spans="2:9" x14ac:dyDescent="0.25">
      <c r="C88" s="37"/>
    </row>
    <row r="90" spans="2:9" x14ac:dyDescent="0.25">
      <c r="B90" s="63" t="s">
        <v>20</v>
      </c>
      <c r="C90" s="64"/>
      <c r="D90" s="64"/>
      <c r="E90" s="64" t="s">
        <v>23</v>
      </c>
      <c r="F90" s="65"/>
    </row>
    <row r="91" spans="2:9" x14ac:dyDescent="0.25">
      <c r="B91" s="43"/>
      <c r="C91" s="24">
        <f>C5</f>
        <v>10000</v>
      </c>
      <c r="F91" s="44">
        <f>SUM(G11:G80)</f>
        <v>2650.4498316137183</v>
      </c>
    </row>
    <row r="92" spans="2:9" x14ac:dyDescent="0.25">
      <c r="B92" s="43"/>
      <c r="F92" s="45"/>
    </row>
    <row r="93" spans="2:9" ht="15.75" thickBot="1" x14ac:dyDescent="0.3">
      <c r="B93" s="43" t="s">
        <v>21</v>
      </c>
      <c r="C93" s="134">
        <f>I79+I66+I52+I40+I27+I14</f>
        <v>10000</v>
      </c>
      <c r="E93" s="22" t="s">
        <v>24</v>
      </c>
      <c r="F93" s="46">
        <f>(E14-I14)+(E27-I27)+(E40-I40)+(E53-I52)+(E66-I66)+(E79-I79)</f>
        <v>2650.4498316137169</v>
      </c>
    </row>
    <row r="94" spans="2:9" ht="15.75" thickTop="1" x14ac:dyDescent="0.25">
      <c r="B94" s="43"/>
      <c r="C94" s="47"/>
      <c r="F94" s="45"/>
    </row>
    <row r="95" spans="2:9" x14ac:dyDescent="0.25">
      <c r="B95" s="43"/>
      <c r="F95" s="45"/>
    </row>
    <row r="96" spans="2:9" x14ac:dyDescent="0.25">
      <c r="B96" s="43" t="s">
        <v>22</v>
      </c>
      <c r="C96" s="47">
        <f>C91-C93</f>
        <v>0</v>
      </c>
      <c r="E96" s="22" t="s">
        <v>25</v>
      </c>
      <c r="F96" s="45"/>
    </row>
    <row r="97" spans="2:6" x14ac:dyDescent="0.25">
      <c r="B97" s="43"/>
      <c r="F97" s="44">
        <f>F91-F93</f>
        <v>0</v>
      </c>
    </row>
    <row r="98" spans="2:6" ht="15.75" thickBot="1" x14ac:dyDescent="0.3">
      <c r="B98" s="48"/>
      <c r="C98" s="49"/>
      <c r="D98" s="49"/>
      <c r="E98" s="49"/>
      <c r="F98" s="50"/>
    </row>
  </sheetData>
  <pageMargins left="0.7" right="0.7" top="0.75" bottom="0.75" header="0.3" footer="0.3"/>
  <pageSetup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897272-C0FF-48FB-8C5A-08B9A5BA194E}">
  <sheetPr>
    <tabColor rgb="FF00B050"/>
    <pageSetUpPr fitToPage="1"/>
  </sheetPr>
  <dimension ref="A1:I73"/>
  <sheetViews>
    <sheetView tabSelected="1" zoomScaleNormal="100" workbookViewId="0">
      <selection activeCell="I27" sqref="I27"/>
    </sheetView>
  </sheetViews>
  <sheetFormatPr defaultRowHeight="15" x14ac:dyDescent="0.25"/>
  <cols>
    <col min="1" max="1" width="3" bestFit="1" customWidth="1"/>
    <col min="2" max="2" width="21.42578125" customWidth="1"/>
    <col min="3" max="3" width="20.5703125" bestFit="1" customWidth="1"/>
    <col min="4" max="4" width="16.85546875" bestFit="1" customWidth="1"/>
    <col min="5" max="5" width="13.7109375" bestFit="1" customWidth="1"/>
    <col min="6" max="6" width="14.85546875" bestFit="1" customWidth="1"/>
    <col min="7" max="7" width="13.28515625" bestFit="1" customWidth="1"/>
    <col min="8" max="8" width="20.28515625" style="22" customWidth="1"/>
    <col min="9" max="9" width="16.42578125" style="70" customWidth="1"/>
  </cols>
  <sheetData>
    <row r="1" spans="1:9" ht="23.25" x14ac:dyDescent="0.35">
      <c r="A1" s="9"/>
      <c r="B1" s="106" t="s">
        <v>0</v>
      </c>
      <c r="C1" s="106"/>
      <c r="D1" s="106"/>
      <c r="E1" s="106"/>
      <c r="F1" s="106"/>
      <c r="G1" s="106"/>
      <c r="H1" s="106"/>
      <c r="I1" s="107"/>
    </row>
    <row r="2" spans="1:9" ht="23.25" x14ac:dyDescent="0.35">
      <c r="A2" s="9"/>
      <c r="B2" s="106" t="s">
        <v>26</v>
      </c>
      <c r="C2" s="106"/>
      <c r="D2" s="106"/>
      <c r="E2" s="106"/>
      <c r="F2" s="106"/>
      <c r="G2" s="106"/>
      <c r="H2" s="106"/>
      <c r="I2" s="107"/>
    </row>
    <row r="4" spans="1:9" s="10" customFormat="1" ht="12.75" x14ac:dyDescent="0.2">
      <c r="B4" s="18" t="s">
        <v>1</v>
      </c>
      <c r="C4" s="19" t="s">
        <v>2</v>
      </c>
      <c r="D4" s="10" t="s">
        <v>7</v>
      </c>
      <c r="E4" s="12" t="s">
        <v>10</v>
      </c>
      <c r="F4" s="10" t="s">
        <v>15</v>
      </c>
      <c r="G4" s="10" t="s">
        <v>11</v>
      </c>
      <c r="H4" s="18"/>
      <c r="I4" s="108"/>
    </row>
    <row r="5" spans="1:9" x14ac:dyDescent="0.25">
      <c r="B5" s="72">
        <v>45352</v>
      </c>
      <c r="C5" s="52">
        <v>10000</v>
      </c>
      <c r="D5" s="7">
        <v>10000</v>
      </c>
      <c r="E5" s="97">
        <v>7.1999999999999995E-2</v>
      </c>
      <c r="F5" s="5">
        <f>E5+0.009</f>
        <v>8.0999999999999989E-2</v>
      </c>
      <c r="G5" s="126">
        <f>F5/366</f>
        <v>2.2131147540983603E-4</v>
      </c>
    </row>
    <row r="6" spans="1:9" x14ac:dyDescent="0.25">
      <c r="B6" s="57" t="s">
        <v>41</v>
      </c>
      <c r="C6" s="75"/>
      <c r="D6" s="7"/>
      <c r="E6" s="55"/>
      <c r="F6" s="5"/>
      <c r="G6" s="5"/>
    </row>
    <row r="7" spans="1:9" x14ac:dyDescent="0.25">
      <c r="E7" s="55"/>
      <c r="F7" s="61"/>
      <c r="G7" s="5"/>
    </row>
    <row r="8" spans="1:9" s="10" customFormat="1" ht="12.75" x14ac:dyDescent="0.2">
      <c r="B8" s="13" t="s">
        <v>3</v>
      </c>
      <c r="C8" s="13" t="s">
        <v>4</v>
      </c>
      <c r="D8" s="13" t="s">
        <v>5</v>
      </c>
      <c r="E8" s="13" t="s">
        <v>8</v>
      </c>
      <c r="F8" s="13" t="s">
        <v>6</v>
      </c>
      <c r="G8" s="14" t="s">
        <v>9</v>
      </c>
      <c r="H8" s="102" t="s">
        <v>42</v>
      </c>
      <c r="I8" s="109" t="s">
        <v>19</v>
      </c>
    </row>
    <row r="9" spans="1:9" x14ac:dyDescent="0.25">
      <c r="B9" s="39">
        <f>B5</f>
        <v>45352</v>
      </c>
      <c r="C9" s="39">
        <f>EOMONTH(B9,0)</f>
        <v>45382</v>
      </c>
      <c r="D9" s="4">
        <f>C5</f>
        <v>10000</v>
      </c>
      <c r="E9" s="4"/>
      <c r="F9" s="3">
        <f t="shared" ref="F9:F19" si="0">C9-B9+1</f>
        <v>31</v>
      </c>
      <c r="G9" s="6">
        <f t="shared" ref="G9:G19" si="1">$G$5*F9*D9</f>
        <v>68.606557377049171</v>
      </c>
      <c r="H9" s="121"/>
      <c r="I9" s="118"/>
    </row>
    <row r="10" spans="1:9" x14ac:dyDescent="0.25">
      <c r="B10" s="39">
        <f>C9+1</f>
        <v>45383</v>
      </c>
      <c r="C10" s="39">
        <f t="shared" ref="C10:C17" si="2">EOMONTH(B10,0)</f>
        <v>45412</v>
      </c>
      <c r="D10" s="4">
        <f>D9+G9-E9</f>
        <v>10068.606557377048</v>
      </c>
      <c r="E10" s="4"/>
      <c r="F10" s="3">
        <f t="shared" si="0"/>
        <v>30</v>
      </c>
      <c r="G10" s="6">
        <f t="shared" si="1"/>
        <v>66.848945176027925</v>
      </c>
      <c r="H10" s="125"/>
      <c r="I10" s="120"/>
    </row>
    <row r="11" spans="1:9" x14ac:dyDescent="0.25">
      <c r="B11" s="39">
        <f>C10+1</f>
        <v>45413</v>
      </c>
      <c r="C11" s="39">
        <f t="shared" si="2"/>
        <v>45443</v>
      </c>
      <c r="D11" s="4">
        <f t="shared" ref="D11:D19" si="3">D10+G10-E10</f>
        <v>10135.455502553077</v>
      </c>
      <c r="E11" s="4"/>
      <c r="F11" s="3">
        <f t="shared" si="0"/>
        <v>31</v>
      </c>
      <c r="G11" s="6">
        <f t="shared" si="1"/>
        <v>69.535870947843648</v>
      </c>
      <c r="H11" s="125"/>
      <c r="I11" s="120"/>
    </row>
    <row r="12" spans="1:9" x14ac:dyDescent="0.25">
      <c r="B12" s="39">
        <f>C11+1</f>
        <v>45444</v>
      </c>
      <c r="C12" s="39">
        <f t="shared" si="2"/>
        <v>45473</v>
      </c>
      <c r="D12" s="4">
        <f t="shared" si="3"/>
        <v>10204.991373500921</v>
      </c>
      <c r="E12" s="4"/>
      <c r="F12" s="3">
        <f t="shared" si="0"/>
        <v>30</v>
      </c>
      <c r="G12" s="6">
        <f t="shared" si="1"/>
        <v>67.754450922424141</v>
      </c>
      <c r="H12" s="121"/>
      <c r="I12" s="120"/>
    </row>
    <row r="13" spans="1:9" x14ac:dyDescent="0.25">
      <c r="B13" s="39">
        <f t="shared" ref="B13:B19" si="4">C12+1</f>
        <v>45474</v>
      </c>
      <c r="C13" s="39">
        <f t="shared" si="2"/>
        <v>45504</v>
      </c>
      <c r="D13" s="4">
        <f t="shared" si="3"/>
        <v>10272.745824423346</v>
      </c>
      <c r="E13" s="4"/>
      <c r="F13" s="3">
        <f t="shared" si="0"/>
        <v>31</v>
      </c>
      <c r="G13" s="6">
        <f t="shared" si="1"/>
        <v>70.477772582314259</v>
      </c>
      <c r="H13" s="121"/>
      <c r="I13" s="120"/>
    </row>
    <row r="14" spans="1:9" x14ac:dyDescent="0.25">
      <c r="B14" s="39">
        <f t="shared" si="4"/>
        <v>45505</v>
      </c>
      <c r="C14" s="39">
        <f t="shared" si="2"/>
        <v>45535</v>
      </c>
      <c r="D14" s="4">
        <f t="shared" si="3"/>
        <v>10343.223597005661</v>
      </c>
      <c r="E14" s="4"/>
      <c r="F14" s="3">
        <f t="shared" si="0"/>
        <v>31</v>
      </c>
      <c r="G14" s="6">
        <f t="shared" si="1"/>
        <v>70.961296317161782</v>
      </c>
      <c r="H14" s="121"/>
      <c r="I14" s="120"/>
    </row>
    <row r="15" spans="1:9" x14ac:dyDescent="0.25">
      <c r="B15" s="39">
        <f t="shared" si="4"/>
        <v>45536</v>
      </c>
      <c r="C15" s="39">
        <f t="shared" si="2"/>
        <v>45565</v>
      </c>
      <c r="D15" s="4">
        <f t="shared" si="3"/>
        <v>10414.184893322823</v>
      </c>
      <c r="E15" s="4"/>
      <c r="F15" s="3">
        <f t="shared" si="0"/>
        <v>30</v>
      </c>
      <c r="G15" s="6">
        <f t="shared" si="1"/>
        <v>69.143358717962997</v>
      </c>
      <c r="H15" s="121"/>
      <c r="I15" s="120"/>
    </row>
    <row r="16" spans="1:9" x14ac:dyDescent="0.25">
      <c r="B16" s="39">
        <f t="shared" si="4"/>
        <v>45566</v>
      </c>
      <c r="C16" s="39">
        <f t="shared" si="2"/>
        <v>45596</v>
      </c>
      <c r="D16" s="4">
        <f t="shared" si="3"/>
        <v>10483.328252040787</v>
      </c>
      <c r="E16" s="4"/>
      <c r="F16" s="3">
        <f t="shared" si="0"/>
        <v>31</v>
      </c>
      <c r="G16" s="6">
        <f t="shared" si="1"/>
        <v>71.922506122607686</v>
      </c>
      <c r="H16" s="121"/>
      <c r="I16" s="120"/>
    </row>
    <row r="17" spans="2:9" x14ac:dyDescent="0.25">
      <c r="B17" s="39">
        <f t="shared" si="4"/>
        <v>45597</v>
      </c>
      <c r="C17" s="39">
        <f t="shared" si="2"/>
        <v>45626</v>
      </c>
      <c r="D17" s="4">
        <f t="shared" si="3"/>
        <v>10555.250758163394</v>
      </c>
      <c r="E17" s="4"/>
      <c r="F17" s="3">
        <f t="shared" si="0"/>
        <v>30</v>
      </c>
      <c r="G17" s="6">
        <f t="shared" si="1"/>
        <v>70.079943558297941</v>
      </c>
      <c r="H17" s="125">
        <f>$C$5</f>
        <v>10000</v>
      </c>
      <c r="I17" s="120">
        <v>1</v>
      </c>
    </row>
    <row r="18" spans="2:9" x14ac:dyDescent="0.25">
      <c r="B18" s="39">
        <f t="shared" si="4"/>
        <v>45627</v>
      </c>
      <c r="C18" s="39">
        <f>B18+14</f>
        <v>45641</v>
      </c>
      <c r="D18" s="4">
        <f t="shared" si="3"/>
        <v>10625.330701721692</v>
      </c>
      <c r="E18" s="4">
        <f>SUM($G$9:G18)+H17</f>
        <v>10660.603315936421</v>
      </c>
      <c r="F18" s="3">
        <f t="shared" si="0"/>
        <v>15</v>
      </c>
      <c r="G18" s="6">
        <f t="shared" si="1"/>
        <v>35.272614214731838</v>
      </c>
      <c r="H18" s="121">
        <f>H17*I17</f>
        <v>10000</v>
      </c>
      <c r="I18" s="120"/>
    </row>
    <row r="19" spans="2:9" x14ac:dyDescent="0.25">
      <c r="B19" s="39">
        <f t="shared" si="4"/>
        <v>45642</v>
      </c>
      <c r="C19" s="39">
        <f>B19</f>
        <v>45642</v>
      </c>
      <c r="D19" s="4">
        <f t="shared" si="3"/>
        <v>0</v>
      </c>
      <c r="E19" s="4"/>
      <c r="F19" s="3">
        <f t="shared" si="0"/>
        <v>1</v>
      </c>
      <c r="G19" s="6">
        <f t="shared" si="1"/>
        <v>0</v>
      </c>
      <c r="H19" s="121">
        <f>H18*I18</f>
        <v>0</v>
      </c>
      <c r="I19" s="120"/>
    </row>
    <row r="20" spans="2:9" x14ac:dyDescent="0.25">
      <c r="B20" s="39"/>
      <c r="C20" s="39"/>
      <c r="D20" s="4"/>
      <c r="E20" s="4"/>
      <c r="F20" s="3"/>
      <c r="G20" s="6"/>
      <c r="H20" s="121"/>
      <c r="I20" s="120"/>
    </row>
    <row r="21" spans="2:9" x14ac:dyDescent="0.25">
      <c r="B21" s="39"/>
      <c r="C21" s="39"/>
      <c r="D21" s="4"/>
      <c r="E21" s="4"/>
      <c r="F21" s="3"/>
      <c r="G21" s="6"/>
      <c r="H21" s="121"/>
      <c r="I21" s="120"/>
    </row>
    <row r="22" spans="2:9" x14ac:dyDescent="0.25">
      <c r="B22" s="104" t="s">
        <v>44</v>
      </c>
      <c r="C22" s="105"/>
      <c r="D22" s="17"/>
      <c r="E22" s="51"/>
      <c r="F22" s="3"/>
      <c r="G22" s="6">
        <f>SUM(G9:G21)</f>
        <v>660.60331593642138</v>
      </c>
      <c r="H22" s="121"/>
      <c r="I22" s="118"/>
    </row>
    <row r="23" spans="2:9" x14ac:dyDescent="0.25">
      <c r="I23" s="110"/>
    </row>
    <row r="24" spans="2:9" x14ac:dyDescent="0.25">
      <c r="B24" t="s">
        <v>12</v>
      </c>
      <c r="C24" s="41">
        <f>SUM(F9:F20)</f>
        <v>291</v>
      </c>
      <c r="D24" s="38">
        <f>C24/366</f>
        <v>0.79508196721311475</v>
      </c>
      <c r="E24" s="38">
        <f>D24*12</f>
        <v>9.5409836065573774</v>
      </c>
      <c r="H24"/>
      <c r="I24" s="111"/>
    </row>
    <row r="25" spans="2:9" x14ac:dyDescent="0.25">
      <c r="B25" t="s">
        <v>13</v>
      </c>
      <c r="C25" s="75">
        <f>SUM(G9:G20)</f>
        <v>660.60331593642138</v>
      </c>
      <c r="H25"/>
      <c r="I25" s="111"/>
    </row>
    <row r="26" spans="2:9" x14ac:dyDescent="0.25">
      <c r="B26" t="s">
        <v>16</v>
      </c>
      <c r="C26" s="1">
        <f>+C25+C5</f>
        <v>10660.603315936421</v>
      </c>
      <c r="H26"/>
      <c r="I26" s="111"/>
    </row>
    <row r="27" spans="2:9" x14ac:dyDescent="0.25">
      <c r="B27" t="s">
        <v>17</v>
      </c>
      <c r="C27" s="5">
        <f>EFFECT(F5,E24)</f>
        <v>8.3978070170986685E-2</v>
      </c>
      <c r="H27"/>
      <c r="I27" s="111"/>
    </row>
    <row r="28" spans="2:9" ht="15.75" thickBot="1" x14ac:dyDescent="0.3">
      <c r="H28"/>
      <c r="I28" s="111"/>
    </row>
    <row r="29" spans="2:9" x14ac:dyDescent="0.25">
      <c r="B29" s="63" t="s">
        <v>20</v>
      </c>
      <c r="C29" s="88">
        <f>C5</f>
        <v>10000</v>
      </c>
      <c r="D29" s="64"/>
      <c r="E29" s="90" t="s">
        <v>23</v>
      </c>
      <c r="F29" s="89">
        <f>SUM(G9:G21)</f>
        <v>660.60331593642138</v>
      </c>
      <c r="H29"/>
      <c r="I29" s="111"/>
    </row>
    <row r="30" spans="2:9" x14ac:dyDescent="0.25">
      <c r="B30" s="43"/>
      <c r="C30" s="24"/>
      <c r="D30" s="22"/>
      <c r="E30" s="22"/>
      <c r="F30" s="44"/>
      <c r="H30"/>
      <c r="I30" s="111"/>
    </row>
    <row r="31" spans="2:9" ht="15.75" thickBot="1" x14ac:dyDescent="0.3">
      <c r="B31" s="43" t="s">
        <v>21</v>
      </c>
      <c r="C31" s="42">
        <f>H18</f>
        <v>10000</v>
      </c>
      <c r="D31" s="22"/>
      <c r="E31" s="87" t="s">
        <v>24</v>
      </c>
      <c r="F31" s="46">
        <f>E18-H18</f>
        <v>660.6033159364215</v>
      </c>
      <c r="H31"/>
      <c r="I31" s="111"/>
    </row>
    <row r="32" spans="2:9" ht="15.75" thickTop="1" x14ac:dyDescent="0.25">
      <c r="B32" s="43"/>
      <c r="C32" s="22"/>
      <c r="D32" s="22"/>
      <c r="E32" s="22"/>
      <c r="F32" s="45"/>
      <c r="H32"/>
      <c r="I32" s="111"/>
    </row>
    <row r="33" spans="2:9" x14ac:dyDescent="0.25">
      <c r="B33" s="43" t="s">
        <v>22</v>
      </c>
      <c r="C33" s="47">
        <f>C29-C31</f>
        <v>0</v>
      </c>
      <c r="D33" s="22"/>
      <c r="E33" s="87" t="s">
        <v>25</v>
      </c>
      <c r="F33" s="44">
        <f>F29-F31</f>
        <v>0</v>
      </c>
      <c r="H33"/>
      <c r="I33" s="111"/>
    </row>
    <row r="34" spans="2:9" ht="15.75" thickBot="1" x14ac:dyDescent="0.3">
      <c r="B34" s="48"/>
      <c r="C34" s="49"/>
      <c r="D34" s="49"/>
      <c r="E34" s="49"/>
      <c r="F34" s="50"/>
      <c r="H34"/>
      <c r="I34" s="111"/>
    </row>
    <row r="35" spans="2:9" x14ac:dyDescent="0.25">
      <c r="H35"/>
      <c r="I35" s="111"/>
    </row>
    <row r="36" spans="2:9" x14ac:dyDescent="0.25">
      <c r="H36"/>
      <c r="I36" s="111"/>
    </row>
    <row r="37" spans="2:9" x14ac:dyDescent="0.25">
      <c r="H37"/>
      <c r="I37" s="111"/>
    </row>
    <row r="38" spans="2:9" x14ac:dyDescent="0.25">
      <c r="H38"/>
      <c r="I38" s="111"/>
    </row>
    <row r="39" spans="2:9" x14ac:dyDescent="0.25">
      <c r="H39"/>
      <c r="I39" s="111"/>
    </row>
    <row r="40" spans="2:9" x14ac:dyDescent="0.25">
      <c r="H40"/>
      <c r="I40" s="111"/>
    </row>
    <row r="41" spans="2:9" x14ac:dyDescent="0.25">
      <c r="H41"/>
      <c r="I41" s="111"/>
    </row>
    <row r="42" spans="2:9" x14ac:dyDescent="0.25">
      <c r="H42"/>
      <c r="I42" s="111"/>
    </row>
    <row r="43" spans="2:9" x14ac:dyDescent="0.25">
      <c r="H43"/>
      <c r="I43" s="111"/>
    </row>
    <row r="44" spans="2:9" x14ac:dyDescent="0.25">
      <c r="H44"/>
      <c r="I44" s="111"/>
    </row>
    <row r="45" spans="2:9" x14ac:dyDescent="0.25">
      <c r="H45"/>
      <c r="I45" s="111"/>
    </row>
    <row r="46" spans="2:9" x14ac:dyDescent="0.25">
      <c r="H46"/>
      <c r="I46" s="111"/>
    </row>
    <row r="47" spans="2:9" x14ac:dyDescent="0.25">
      <c r="H47"/>
      <c r="I47" s="111"/>
    </row>
    <row r="48" spans="2:9" x14ac:dyDescent="0.25">
      <c r="H48"/>
      <c r="I48" s="111"/>
    </row>
    <row r="49" spans="8:9" x14ac:dyDescent="0.25">
      <c r="H49"/>
      <c r="I49" s="111"/>
    </row>
    <row r="50" spans="8:9" x14ac:dyDescent="0.25">
      <c r="H50"/>
      <c r="I50" s="111"/>
    </row>
    <row r="51" spans="8:9" x14ac:dyDescent="0.25">
      <c r="H51"/>
      <c r="I51" s="111"/>
    </row>
    <row r="52" spans="8:9" x14ac:dyDescent="0.25">
      <c r="H52"/>
      <c r="I52" s="111"/>
    </row>
    <row r="53" spans="8:9" x14ac:dyDescent="0.25">
      <c r="H53"/>
      <c r="I53" s="111"/>
    </row>
    <row r="54" spans="8:9" x14ac:dyDescent="0.25">
      <c r="H54"/>
      <c r="I54" s="111"/>
    </row>
    <row r="55" spans="8:9" x14ac:dyDescent="0.25">
      <c r="H55"/>
      <c r="I55" s="111"/>
    </row>
    <row r="56" spans="8:9" x14ac:dyDescent="0.25">
      <c r="H56"/>
      <c r="I56" s="111"/>
    </row>
    <row r="57" spans="8:9" x14ac:dyDescent="0.25">
      <c r="H57"/>
      <c r="I57" s="111"/>
    </row>
    <row r="58" spans="8:9" x14ac:dyDescent="0.25">
      <c r="H58"/>
      <c r="I58" s="111"/>
    </row>
    <row r="59" spans="8:9" x14ac:dyDescent="0.25">
      <c r="H59"/>
      <c r="I59" s="111"/>
    </row>
    <row r="60" spans="8:9" x14ac:dyDescent="0.25">
      <c r="H60"/>
      <c r="I60" s="111"/>
    </row>
    <row r="61" spans="8:9" x14ac:dyDescent="0.25">
      <c r="H61"/>
      <c r="I61" s="111"/>
    </row>
    <row r="62" spans="8:9" x14ac:dyDescent="0.25">
      <c r="H62"/>
      <c r="I62" s="111"/>
    </row>
    <row r="63" spans="8:9" x14ac:dyDescent="0.25">
      <c r="H63"/>
      <c r="I63" s="111"/>
    </row>
    <row r="64" spans="8:9" x14ac:dyDescent="0.25">
      <c r="H64"/>
      <c r="I64" s="111"/>
    </row>
    <row r="65" spans="3:9" x14ac:dyDescent="0.25">
      <c r="H65"/>
      <c r="I65" s="111"/>
    </row>
    <row r="66" spans="3:9" x14ac:dyDescent="0.25">
      <c r="H66"/>
      <c r="I66" s="111"/>
    </row>
    <row r="67" spans="3:9" x14ac:dyDescent="0.25">
      <c r="H67"/>
      <c r="I67" s="111"/>
    </row>
    <row r="68" spans="3:9" x14ac:dyDescent="0.25">
      <c r="H68"/>
      <c r="I68" s="111"/>
    </row>
    <row r="69" spans="3:9" x14ac:dyDescent="0.25">
      <c r="H69"/>
      <c r="I69" s="111"/>
    </row>
    <row r="70" spans="3:9" x14ac:dyDescent="0.25">
      <c r="H70"/>
      <c r="I70" s="111"/>
    </row>
    <row r="71" spans="3:9" x14ac:dyDescent="0.25">
      <c r="H71"/>
      <c r="I71" s="111"/>
    </row>
    <row r="72" spans="3:9" x14ac:dyDescent="0.25">
      <c r="H72"/>
      <c r="I72" s="111"/>
    </row>
    <row r="73" spans="3:9" x14ac:dyDescent="0.25">
      <c r="C73" s="38"/>
    </row>
  </sheetData>
  <pageMargins left="0.7" right="0.7" top="0.75" bottom="0.75" header="0.3" footer="0.3"/>
  <pageSetup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I66"/>
  <sheetViews>
    <sheetView zoomScaleNormal="100" workbookViewId="0">
      <selection activeCell="H30" sqref="H30"/>
    </sheetView>
  </sheetViews>
  <sheetFormatPr defaultRowHeight="15" x14ac:dyDescent="0.25"/>
  <cols>
    <col min="1" max="1" width="3" bestFit="1" customWidth="1"/>
    <col min="2" max="2" width="21.42578125" customWidth="1"/>
    <col min="3" max="3" width="20.5703125" bestFit="1" customWidth="1"/>
    <col min="4" max="4" width="16.85546875" bestFit="1" customWidth="1"/>
    <col min="5" max="5" width="13.7109375" bestFit="1" customWidth="1"/>
    <col min="6" max="6" width="14.85546875" bestFit="1" customWidth="1"/>
    <col min="7" max="7" width="13.28515625" bestFit="1" customWidth="1"/>
    <col min="8" max="8" width="20.28515625" style="22" customWidth="1"/>
    <col min="9" max="9" width="16.42578125" style="70" customWidth="1"/>
  </cols>
  <sheetData>
    <row r="1" spans="1:9" ht="23.25" x14ac:dyDescent="0.35">
      <c r="A1" s="9"/>
      <c r="B1" s="106" t="s">
        <v>0</v>
      </c>
      <c r="C1" s="106"/>
      <c r="D1" s="106"/>
      <c r="E1" s="106"/>
      <c r="F1" s="106"/>
      <c r="G1" s="106"/>
      <c r="H1" s="106"/>
      <c r="I1" s="107"/>
    </row>
    <row r="2" spans="1:9" ht="23.25" x14ac:dyDescent="0.35">
      <c r="A2" s="9"/>
      <c r="B2" s="106" t="s">
        <v>26</v>
      </c>
      <c r="C2" s="106"/>
      <c r="D2" s="106"/>
      <c r="E2" s="106"/>
      <c r="F2" s="106"/>
      <c r="G2" s="106"/>
      <c r="H2" s="106"/>
      <c r="I2" s="107"/>
    </row>
    <row r="4" spans="1:9" s="10" customFormat="1" ht="12.75" x14ac:dyDescent="0.2">
      <c r="B4" s="18" t="s">
        <v>1</v>
      </c>
      <c r="C4" s="19" t="s">
        <v>2</v>
      </c>
      <c r="D4" s="10" t="s">
        <v>7</v>
      </c>
      <c r="E4" s="12" t="s">
        <v>10</v>
      </c>
      <c r="F4" s="10" t="s">
        <v>15</v>
      </c>
      <c r="G4" s="10" t="s">
        <v>11</v>
      </c>
      <c r="H4" s="18"/>
      <c r="I4" s="108"/>
    </row>
    <row r="5" spans="1:9" x14ac:dyDescent="0.25">
      <c r="B5" s="72">
        <v>45231</v>
      </c>
      <c r="C5" s="52">
        <v>10000</v>
      </c>
      <c r="D5" s="7">
        <v>10000</v>
      </c>
      <c r="E5" s="97">
        <v>7.1999999999999995E-2</v>
      </c>
      <c r="F5" s="5">
        <f>E5+0.009</f>
        <v>8.0999999999999989E-2</v>
      </c>
      <c r="G5" s="126">
        <f>F5/365</f>
        <v>2.2191780821917805E-4</v>
      </c>
    </row>
    <row r="6" spans="1:9" x14ac:dyDescent="0.25">
      <c r="B6" s="57" t="s">
        <v>41</v>
      </c>
      <c r="C6" s="75"/>
      <c r="D6" s="7"/>
      <c r="E6" s="55"/>
      <c r="F6" s="5"/>
      <c r="G6" s="5"/>
    </row>
    <row r="7" spans="1:9" x14ac:dyDescent="0.25">
      <c r="E7" s="55"/>
      <c r="F7" s="61"/>
      <c r="G7" s="5"/>
    </row>
    <row r="8" spans="1:9" s="10" customFormat="1" ht="12.75" x14ac:dyDescent="0.2">
      <c r="B8" s="13" t="s">
        <v>3</v>
      </c>
      <c r="C8" s="13" t="s">
        <v>4</v>
      </c>
      <c r="D8" s="13" t="s">
        <v>5</v>
      </c>
      <c r="E8" s="13" t="s">
        <v>8</v>
      </c>
      <c r="F8" s="13" t="s">
        <v>6</v>
      </c>
      <c r="G8" s="14" t="s">
        <v>9</v>
      </c>
      <c r="H8" s="102" t="s">
        <v>42</v>
      </c>
      <c r="I8" s="109" t="s">
        <v>19</v>
      </c>
    </row>
    <row r="9" spans="1:9" x14ac:dyDescent="0.25">
      <c r="B9" s="39">
        <f>B5</f>
        <v>45231</v>
      </c>
      <c r="C9" s="39">
        <f>EOMONTH(B9,0)</f>
        <v>45260</v>
      </c>
      <c r="D9" s="4">
        <f>C5</f>
        <v>10000</v>
      </c>
      <c r="E9" s="4"/>
      <c r="F9" s="3">
        <f t="shared" ref="F9:F10" si="0">C9-B9+1</f>
        <v>30</v>
      </c>
      <c r="G9" s="6">
        <f t="shared" ref="G9:G11" si="1">$G$5*F9*D9</f>
        <v>66.575342465753408</v>
      </c>
      <c r="H9" s="121"/>
      <c r="I9" s="118"/>
    </row>
    <row r="10" spans="1:9" x14ac:dyDescent="0.25">
      <c r="B10" s="39">
        <f>C9+1</f>
        <v>45261</v>
      </c>
      <c r="C10" s="39">
        <f>B10+14</f>
        <v>45275</v>
      </c>
      <c r="D10" s="4">
        <f>D9+G9-E9</f>
        <v>10066.575342465754</v>
      </c>
      <c r="E10" s="4">
        <f>SUM(G9:G10)+H11</f>
        <v>10100.084627509852</v>
      </c>
      <c r="F10" s="3">
        <f t="shared" si="0"/>
        <v>15</v>
      </c>
      <c r="G10" s="6">
        <f t="shared" si="1"/>
        <v>33.509285044098327</v>
      </c>
      <c r="H10" s="125">
        <f>$C$5</f>
        <v>10000</v>
      </c>
      <c r="I10" s="120">
        <v>1</v>
      </c>
    </row>
    <row r="11" spans="1:9" x14ac:dyDescent="0.25">
      <c r="B11" s="39">
        <f>C10+1</f>
        <v>45276</v>
      </c>
      <c r="C11" s="39">
        <f>B11</f>
        <v>45276</v>
      </c>
      <c r="D11" s="4">
        <f>D10+G10-E10</f>
        <v>0</v>
      </c>
      <c r="E11" s="4"/>
      <c r="F11" s="3"/>
      <c r="G11" s="6">
        <f t="shared" si="1"/>
        <v>0</v>
      </c>
      <c r="H11" s="121">
        <f>H10*I10</f>
        <v>10000</v>
      </c>
      <c r="I11" s="120"/>
    </row>
    <row r="12" spans="1:9" x14ac:dyDescent="0.25">
      <c r="B12" s="39"/>
      <c r="C12" s="39"/>
      <c r="D12" s="4"/>
      <c r="E12" s="4"/>
      <c r="F12" s="3"/>
      <c r="G12" s="6"/>
      <c r="H12" s="121"/>
      <c r="I12" s="120"/>
    </row>
    <row r="13" spans="1:9" x14ac:dyDescent="0.25">
      <c r="B13" s="39"/>
      <c r="C13" s="39"/>
      <c r="D13" s="4"/>
      <c r="E13" s="4"/>
      <c r="F13" s="3"/>
      <c r="G13" s="6"/>
      <c r="H13" s="121"/>
      <c r="I13" s="120"/>
    </row>
    <row r="14" spans="1:9" x14ac:dyDescent="0.25">
      <c r="B14" s="39"/>
      <c r="C14" s="39"/>
      <c r="D14" s="4"/>
      <c r="E14" s="4"/>
      <c r="F14" s="3"/>
      <c r="G14" s="6"/>
      <c r="H14" s="121"/>
      <c r="I14" s="120"/>
    </row>
    <row r="15" spans="1:9" x14ac:dyDescent="0.25">
      <c r="B15" s="104" t="s">
        <v>14</v>
      </c>
      <c r="C15" s="105"/>
      <c r="D15" s="17"/>
      <c r="E15" s="51"/>
      <c r="F15" s="3"/>
      <c r="G15" s="6"/>
      <c r="H15" s="121"/>
      <c r="I15" s="118"/>
    </row>
    <row r="16" spans="1:9" x14ac:dyDescent="0.25">
      <c r="I16" s="110"/>
    </row>
    <row r="17" spans="2:9" x14ac:dyDescent="0.25">
      <c r="B17" t="s">
        <v>12</v>
      </c>
      <c r="C17" s="41">
        <f>SUM(F9:F13)</f>
        <v>45</v>
      </c>
      <c r="D17" s="38">
        <f>C17/365</f>
        <v>0.12328767123287671</v>
      </c>
      <c r="E17" s="38">
        <f>D17*12</f>
        <v>1.4794520547945205</v>
      </c>
      <c r="H17"/>
      <c r="I17" s="111"/>
    </row>
    <row r="18" spans="2:9" x14ac:dyDescent="0.25">
      <c r="B18" t="s">
        <v>13</v>
      </c>
      <c r="C18" s="75">
        <f>SUM(G9:G14)</f>
        <v>100.08462750985174</v>
      </c>
      <c r="H18"/>
      <c r="I18" s="111"/>
    </row>
    <row r="19" spans="2:9" x14ac:dyDescent="0.25">
      <c r="B19" t="s">
        <v>16</v>
      </c>
      <c r="C19" s="1">
        <f>+C18+C5</f>
        <v>10100.084627509852</v>
      </c>
      <c r="H19"/>
      <c r="I19" s="111"/>
    </row>
    <row r="20" spans="2:9" x14ac:dyDescent="0.25">
      <c r="B20" t="s">
        <v>17</v>
      </c>
      <c r="C20" s="5">
        <f>EFFECT(F5,E17)</f>
        <v>8.0999999999999961E-2</v>
      </c>
      <c r="H20"/>
      <c r="I20" s="111"/>
    </row>
    <row r="21" spans="2:9" ht="15.75" thickBot="1" x14ac:dyDescent="0.3">
      <c r="H21"/>
      <c r="I21" s="111"/>
    </row>
    <row r="22" spans="2:9" x14ac:dyDescent="0.25">
      <c r="B22" s="63" t="s">
        <v>20</v>
      </c>
      <c r="C22" s="88">
        <f>C5</f>
        <v>10000</v>
      </c>
      <c r="D22" s="64"/>
      <c r="E22" s="90" t="s">
        <v>23</v>
      </c>
      <c r="F22" s="89">
        <f>SUM(G9:G14)</f>
        <v>100.08462750985174</v>
      </c>
      <c r="H22"/>
      <c r="I22" s="111"/>
    </row>
    <row r="23" spans="2:9" x14ac:dyDescent="0.25">
      <c r="B23" s="43"/>
      <c r="C23" s="24"/>
      <c r="D23" s="22"/>
      <c r="E23" s="22"/>
      <c r="F23" s="44"/>
      <c r="H23"/>
      <c r="I23" s="111"/>
    </row>
    <row r="24" spans="2:9" ht="15.75" thickBot="1" x14ac:dyDescent="0.3">
      <c r="B24" s="43" t="s">
        <v>21</v>
      </c>
      <c r="C24" s="42">
        <f>H11</f>
        <v>10000</v>
      </c>
      <c r="D24" s="22"/>
      <c r="E24" s="87" t="s">
        <v>24</v>
      </c>
      <c r="F24" s="46">
        <f>E10-H11</f>
        <v>100.084627509852</v>
      </c>
      <c r="H24"/>
      <c r="I24" s="111"/>
    </row>
    <row r="25" spans="2:9" ht="15.75" thickTop="1" x14ac:dyDescent="0.25">
      <c r="B25" s="43"/>
      <c r="C25" s="22"/>
      <c r="D25" s="22"/>
      <c r="E25" s="22"/>
      <c r="F25" s="45"/>
      <c r="H25"/>
      <c r="I25" s="111"/>
    </row>
    <row r="26" spans="2:9" x14ac:dyDescent="0.25">
      <c r="B26" s="43" t="s">
        <v>22</v>
      </c>
      <c r="C26" s="47">
        <f>C22-C24</f>
        <v>0</v>
      </c>
      <c r="D26" s="22"/>
      <c r="E26" s="87" t="s">
        <v>25</v>
      </c>
      <c r="F26" s="44">
        <f>F22-F24</f>
        <v>-2.5579538487363607E-13</v>
      </c>
      <c r="H26"/>
      <c r="I26" s="111"/>
    </row>
    <row r="27" spans="2:9" ht="15.75" thickBot="1" x14ac:dyDescent="0.3">
      <c r="B27" s="48"/>
      <c r="C27" s="49"/>
      <c r="D27" s="49"/>
      <c r="E27" s="49"/>
      <c r="F27" s="50"/>
      <c r="H27"/>
      <c r="I27" s="111"/>
    </row>
    <row r="28" spans="2:9" x14ac:dyDescent="0.25">
      <c r="H28"/>
      <c r="I28" s="111"/>
    </row>
    <row r="29" spans="2:9" x14ac:dyDescent="0.25">
      <c r="H29"/>
      <c r="I29" s="111"/>
    </row>
    <row r="30" spans="2:9" x14ac:dyDescent="0.25">
      <c r="H30"/>
      <c r="I30" s="111"/>
    </row>
    <row r="31" spans="2:9" x14ac:dyDescent="0.25">
      <c r="H31"/>
      <c r="I31" s="111"/>
    </row>
    <row r="32" spans="2:9" x14ac:dyDescent="0.25">
      <c r="H32"/>
      <c r="I32" s="111"/>
    </row>
    <row r="33" spans="8:9" x14ac:dyDescent="0.25">
      <c r="H33"/>
      <c r="I33" s="111"/>
    </row>
    <row r="34" spans="8:9" x14ac:dyDescent="0.25">
      <c r="H34"/>
      <c r="I34" s="111"/>
    </row>
    <row r="35" spans="8:9" x14ac:dyDescent="0.25">
      <c r="H35"/>
      <c r="I35" s="111"/>
    </row>
    <row r="36" spans="8:9" x14ac:dyDescent="0.25">
      <c r="H36"/>
      <c r="I36" s="111"/>
    </row>
    <row r="37" spans="8:9" x14ac:dyDescent="0.25">
      <c r="H37"/>
      <c r="I37" s="111"/>
    </row>
    <row r="38" spans="8:9" x14ac:dyDescent="0.25">
      <c r="H38"/>
      <c r="I38" s="111"/>
    </row>
    <row r="39" spans="8:9" x14ac:dyDescent="0.25">
      <c r="H39"/>
      <c r="I39" s="111"/>
    </row>
    <row r="40" spans="8:9" x14ac:dyDescent="0.25">
      <c r="H40"/>
      <c r="I40" s="111"/>
    </row>
    <row r="41" spans="8:9" x14ac:dyDescent="0.25">
      <c r="H41"/>
      <c r="I41" s="111"/>
    </row>
    <row r="42" spans="8:9" x14ac:dyDescent="0.25">
      <c r="H42"/>
      <c r="I42" s="111"/>
    </row>
    <row r="43" spans="8:9" x14ac:dyDescent="0.25">
      <c r="H43"/>
      <c r="I43" s="111"/>
    </row>
    <row r="44" spans="8:9" x14ac:dyDescent="0.25">
      <c r="H44"/>
      <c r="I44" s="111"/>
    </row>
    <row r="45" spans="8:9" x14ac:dyDescent="0.25">
      <c r="H45"/>
      <c r="I45" s="111"/>
    </row>
    <row r="46" spans="8:9" x14ac:dyDescent="0.25">
      <c r="H46"/>
      <c r="I46" s="111"/>
    </row>
    <row r="47" spans="8:9" x14ac:dyDescent="0.25">
      <c r="H47"/>
      <c r="I47" s="111"/>
    </row>
    <row r="48" spans="8:9" x14ac:dyDescent="0.25">
      <c r="H48"/>
      <c r="I48" s="111"/>
    </row>
    <row r="49" spans="8:9" x14ac:dyDescent="0.25">
      <c r="H49"/>
      <c r="I49" s="111"/>
    </row>
    <row r="50" spans="8:9" x14ac:dyDescent="0.25">
      <c r="H50"/>
      <c r="I50" s="111"/>
    </row>
    <row r="51" spans="8:9" x14ac:dyDescent="0.25">
      <c r="H51"/>
      <c r="I51" s="111"/>
    </row>
    <row r="52" spans="8:9" x14ac:dyDescent="0.25">
      <c r="H52"/>
      <c r="I52" s="111"/>
    </row>
    <row r="53" spans="8:9" x14ac:dyDescent="0.25">
      <c r="H53"/>
      <c r="I53" s="111"/>
    </row>
    <row r="54" spans="8:9" x14ac:dyDescent="0.25">
      <c r="H54"/>
      <c r="I54" s="111"/>
    </row>
    <row r="55" spans="8:9" x14ac:dyDescent="0.25">
      <c r="H55"/>
      <c r="I55" s="111"/>
    </row>
    <row r="56" spans="8:9" x14ac:dyDescent="0.25">
      <c r="H56"/>
      <c r="I56" s="111"/>
    </row>
    <row r="57" spans="8:9" x14ac:dyDescent="0.25">
      <c r="H57"/>
      <c r="I57" s="111"/>
    </row>
    <row r="58" spans="8:9" x14ac:dyDescent="0.25">
      <c r="H58"/>
      <c r="I58" s="111"/>
    </row>
    <row r="59" spans="8:9" x14ac:dyDescent="0.25">
      <c r="H59"/>
      <c r="I59" s="111"/>
    </row>
    <row r="60" spans="8:9" x14ac:dyDescent="0.25">
      <c r="H60"/>
      <c r="I60" s="111"/>
    </row>
    <row r="61" spans="8:9" x14ac:dyDescent="0.25">
      <c r="H61"/>
      <c r="I61" s="111"/>
    </row>
    <row r="62" spans="8:9" x14ac:dyDescent="0.25">
      <c r="H62"/>
      <c r="I62" s="111"/>
    </row>
    <row r="63" spans="8:9" x14ac:dyDescent="0.25">
      <c r="H63"/>
      <c r="I63" s="111"/>
    </row>
    <row r="64" spans="8:9" x14ac:dyDescent="0.25">
      <c r="H64"/>
      <c r="I64" s="111"/>
    </row>
    <row r="65" spans="3:9" x14ac:dyDescent="0.25">
      <c r="H65"/>
      <c r="I65" s="111"/>
    </row>
    <row r="66" spans="3:9" x14ac:dyDescent="0.25">
      <c r="C66" s="38"/>
    </row>
  </sheetData>
  <pageMargins left="0.7" right="0.7" top="0.75" bottom="0.75" header="0.3" footer="0.3"/>
  <pageSetup scale="58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CB9616-E37D-444B-A52C-6956142E9241}">
  <sheetPr>
    <tabColor rgb="FF00B050"/>
    <pageSetUpPr fitToPage="1"/>
  </sheetPr>
  <dimension ref="A1:P86"/>
  <sheetViews>
    <sheetView zoomScaleNormal="100" workbookViewId="0">
      <selection activeCell="B75" sqref="B75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18.5703125" style="22" customWidth="1"/>
    <col min="9" max="9" width="16.42578125" style="22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37" t="s">
        <v>0</v>
      </c>
      <c r="C1" s="137"/>
      <c r="D1" s="137"/>
      <c r="E1" s="137"/>
      <c r="F1" s="137"/>
      <c r="G1" s="137"/>
      <c r="H1" s="137"/>
      <c r="I1" s="137"/>
    </row>
    <row r="2" spans="1:16" ht="23.25" x14ac:dyDescent="0.35">
      <c r="A2" s="21"/>
      <c r="B2" s="137" t="s">
        <v>32</v>
      </c>
      <c r="C2" s="137"/>
      <c r="D2" s="137"/>
      <c r="E2" s="137"/>
      <c r="F2" s="137"/>
      <c r="G2" s="137"/>
      <c r="H2" s="137"/>
      <c r="I2" s="137"/>
      <c r="K2" s="47">
        <f>$C$5*L2</f>
        <v>2000</v>
      </c>
      <c r="L2" s="83">
        <v>0.2</v>
      </c>
    </row>
    <row r="3" spans="1:16" x14ac:dyDescent="0.25">
      <c r="K3" s="47">
        <f>($C$5-$K$2)*L3</f>
        <v>2000</v>
      </c>
      <c r="L3" s="83">
        <v>0.25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K4" s="47">
        <f>($C$5-$K$2-$K$3)*L4</f>
        <v>1999.9999999980002</v>
      </c>
      <c r="L4" s="83">
        <v>0.33333333333300003</v>
      </c>
      <c r="M4" s="22"/>
      <c r="N4" s="22"/>
      <c r="O4" s="22"/>
      <c r="P4" s="22"/>
    </row>
    <row r="5" spans="1:16" x14ac:dyDescent="0.25">
      <c r="B5" s="72">
        <v>45352</v>
      </c>
      <c r="C5" s="20">
        <v>10000</v>
      </c>
      <c r="D5" s="24">
        <f>C5/5</f>
        <v>2000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  <c r="K5" s="47">
        <f>($C$5-$K$2-$K$3-$K$4)*L5</f>
        <v>2000.000000001</v>
      </c>
      <c r="L5" s="83">
        <v>0.5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($C$5-$K$2-$K$3-$K$4-$K$5)*L6</f>
        <v>2000.000000001</v>
      </c>
      <c r="L6" s="83">
        <v>1</v>
      </c>
    </row>
    <row r="7" spans="1:16" x14ac:dyDescent="0.25">
      <c r="C7" s="26"/>
      <c r="E7" s="93"/>
      <c r="F7" s="67"/>
      <c r="G7" s="25"/>
      <c r="K7" s="47">
        <f>($C$5-$K$2-$K$3-$K$4-$K$5-$K$6)*L7</f>
        <v>0</v>
      </c>
      <c r="L7" s="95">
        <v>0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14" t="s">
        <v>42</v>
      </c>
      <c r="I8" s="114" t="s">
        <v>19</v>
      </c>
      <c r="M8" s="22"/>
      <c r="N8" s="22"/>
      <c r="O8" s="22"/>
      <c r="P8" s="22"/>
    </row>
    <row r="9" spans="1:16" x14ac:dyDescent="0.25">
      <c r="B9" s="39">
        <f>B5</f>
        <v>45352</v>
      </c>
      <c r="C9" s="39">
        <f>EOMONTH(B9,0)</f>
        <v>45382</v>
      </c>
      <c r="D9" s="4">
        <f>C5</f>
        <v>10000</v>
      </c>
      <c r="E9" s="92"/>
      <c r="F9" s="30">
        <f t="shared" ref="F9:F70" si="0">C9-B9+1</f>
        <v>31</v>
      </c>
      <c r="G9" s="31">
        <f>$G$5*F9*D9</f>
        <v>68.606557377049171</v>
      </c>
      <c r="H9" s="121"/>
      <c r="I9" s="118"/>
    </row>
    <row r="10" spans="1:16" x14ac:dyDescent="0.25">
      <c r="B10" s="39">
        <f>C9+1</f>
        <v>45383</v>
      </c>
      <c r="C10" s="39">
        <f t="shared" ref="C10:C69" si="1">EOMONTH(B10,0)</f>
        <v>45412</v>
      </c>
      <c r="D10" s="4">
        <f>D9+G9-E9</f>
        <v>10068.606557377048</v>
      </c>
      <c r="E10" s="92"/>
      <c r="F10" s="30">
        <f t="shared" si="0"/>
        <v>30</v>
      </c>
      <c r="G10" s="31">
        <f t="shared" ref="G10:G71" si="2">$G$5*F10*D10</f>
        <v>66.848945176027925</v>
      </c>
      <c r="H10" s="125"/>
      <c r="I10" s="118"/>
    </row>
    <row r="11" spans="1:16" x14ac:dyDescent="0.25">
      <c r="B11" s="39">
        <f t="shared" ref="B11:B62" si="3">C10+1</f>
        <v>45413</v>
      </c>
      <c r="C11" s="39">
        <f t="shared" si="1"/>
        <v>45443</v>
      </c>
      <c r="D11" s="4">
        <f t="shared" ref="D11" si="4">D10+G10-E10</f>
        <v>10135.455502553077</v>
      </c>
      <c r="E11" s="92"/>
      <c r="F11" s="30">
        <f t="shared" si="0"/>
        <v>31</v>
      </c>
      <c r="G11" s="31">
        <f t="shared" si="2"/>
        <v>69.535870947843648</v>
      </c>
      <c r="H11" s="121"/>
      <c r="I11" s="118"/>
    </row>
    <row r="12" spans="1:16" x14ac:dyDescent="0.25">
      <c r="B12" s="39">
        <f t="shared" si="3"/>
        <v>45444</v>
      </c>
      <c r="C12" s="39">
        <f t="shared" si="1"/>
        <v>45473</v>
      </c>
      <c r="D12" s="4">
        <f t="shared" ref="D12:D16" si="5">D11+G11-E11</f>
        <v>10204.991373500921</v>
      </c>
      <c r="F12" s="30">
        <f t="shared" si="0"/>
        <v>30</v>
      </c>
      <c r="G12" s="31">
        <f t="shared" si="2"/>
        <v>67.754450922424141</v>
      </c>
      <c r="H12" s="121"/>
      <c r="I12" s="118"/>
    </row>
    <row r="13" spans="1:16" x14ac:dyDescent="0.25">
      <c r="B13" s="39">
        <f t="shared" si="3"/>
        <v>45474</v>
      </c>
      <c r="C13" s="39">
        <f t="shared" si="1"/>
        <v>45504</v>
      </c>
      <c r="D13" s="4">
        <f t="shared" si="5"/>
        <v>10272.745824423346</v>
      </c>
      <c r="E13" s="92"/>
      <c r="F13" s="30">
        <f t="shared" si="0"/>
        <v>31</v>
      </c>
      <c r="G13" s="31">
        <f t="shared" si="2"/>
        <v>70.477772582314259</v>
      </c>
      <c r="H13" s="121"/>
      <c r="I13" s="118"/>
      <c r="J13" s="85"/>
    </row>
    <row r="14" spans="1:16" x14ac:dyDescent="0.25">
      <c r="B14" s="39">
        <f t="shared" si="3"/>
        <v>45505</v>
      </c>
      <c r="C14" s="39">
        <f t="shared" si="1"/>
        <v>45535</v>
      </c>
      <c r="D14" s="4">
        <f t="shared" si="5"/>
        <v>10343.223597005661</v>
      </c>
      <c r="E14" s="92"/>
      <c r="F14" s="30">
        <f t="shared" si="0"/>
        <v>31</v>
      </c>
      <c r="G14" s="31">
        <f t="shared" si="2"/>
        <v>70.961296317161782</v>
      </c>
      <c r="H14" s="121"/>
      <c r="I14" s="118"/>
      <c r="J14" s="85"/>
    </row>
    <row r="15" spans="1:16" x14ac:dyDescent="0.25">
      <c r="B15" s="39">
        <f t="shared" si="3"/>
        <v>45536</v>
      </c>
      <c r="C15" s="39">
        <f t="shared" si="1"/>
        <v>45565</v>
      </c>
      <c r="D15" s="4">
        <f t="shared" si="5"/>
        <v>10414.184893322823</v>
      </c>
      <c r="E15" s="92"/>
      <c r="F15" s="30">
        <f t="shared" si="0"/>
        <v>30</v>
      </c>
      <c r="G15" s="31">
        <f t="shared" si="2"/>
        <v>69.143358717962997</v>
      </c>
      <c r="H15" s="121"/>
      <c r="I15" s="118"/>
    </row>
    <row r="16" spans="1:16" x14ac:dyDescent="0.25">
      <c r="B16" s="39">
        <f t="shared" si="3"/>
        <v>45566</v>
      </c>
      <c r="C16" s="39">
        <f t="shared" si="1"/>
        <v>45596</v>
      </c>
      <c r="D16" s="4">
        <f t="shared" si="5"/>
        <v>10483.328252040787</v>
      </c>
      <c r="E16" s="92"/>
      <c r="F16" s="30">
        <f t="shared" si="0"/>
        <v>31</v>
      </c>
      <c r="G16" s="31">
        <f t="shared" si="2"/>
        <v>71.922506122607686</v>
      </c>
      <c r="H16" s="121"/>
      <c r="I16" s="118"/>
    </row>
    <row r="17" spans="2:9" x14ac:dyDescent="0.25">
      <c r="B17" s="39">
        <f t="shared" si="3"/>
        <v>45597</v>
      </c>
      <c r="C17" s="39">
        <f t="shared" si="1"/>
        <v>45626</v>
      </c>
      <c r="D17" s="4">
        <f>D16+G16-E16</f>
        <v>10555.250758163394</v>
      </c>
      <c r="E17" s="92"/>
      <c r="F17" s="30">
        <f t="shared" si="0"/>
        <v>30</v>
      </c>
      <c r="G17" s="31">
        <f t="shared" si="2"/>
        <v>70.079943558297941</v>
      </c>
      <c r="H17" s="121">
        <f>$C$5</f>
        <v>10000</v>
      </c>
      <c r="I17" s="118">
        <v>0.2</v>
      </c>
    </row>
    <row r="18" spans="2:9" x14ac:dyDescent="0.25">
      <c r="B18" s="39">
        <f t="shared" si="3"/>
        <v>45627</v>
      </c>
      <c r="C18" s="39">
        <f>B18+14</f>
        <v>45641</v>
      </c>
      <c r="D18" s="4">
        <f t="shared" ref="D18:D71" si="6">D17+G17-E17</f>
        <v>10625.330701721692</v>
      </c>
      <c r="E18" s="92">
        <f>SUM($G$9:G18)+H18</f>
        <v>2660.6033159364215</v>
      </c>
      <c r="F18" s="30">
        <f t="shared" si="0"/>
        <v>15</v>
      </c>
      <c r="G18" s="31">
        <f t="shared" si="2"/>
        <v>35.272614214731838</v>
      </c>
      <c r="H18" s="121">
        <f>H17*I17</f>
        <v>2000</v>
      </c>
      <c r="I18" s="118"/>
    </row>
    <row r="19" spans="2:9" x14ac:dyDescent="0.25">
      <c r="B19" s="39">
        <f t="shared" si="3"/>
        <v>45642</v>
      </c>
      <c r="C19" s="39">
        <f t="shared" si="1"/>
        <v>45657</v>
      </c>
      <c r="D19" s="4">
        <f t="shared" si="6"/>
        <v>8000.0000000000018</v>
      </c>
      <c r="E19" s="92"/>
      <c r="F19" s="30">
        <f t="shared" si="0"/>
        <v>16</v>
      </c>
      <c r="G19" s="31">
        <f t="shared" si="2"/>
        <v>28.327868852459019</v>
      </c>
      <c r="H19" s="121"/>
      <c r="I19" s="118"/>
    </row>
    <row r="20" spans="2:9" x14ac:dyDescent="0.25">
      <c r="B20" s="39">
        <f t="shared" si="3"/>
        <v>45658</v>
      </c>
      <c r="C20" s="39">
        <f t="shared" si="1"/>
        <v>45688</v>
      </c>
      <c r="D20" s="4">
        <f t="shared" si="6"/>
        <v>8028.3278688524606</v>
      </c>
      <c r="F20" s="30">
        <f t="shared" si="0"/>
        <v>31</v>
      </c>
      <c r="G20" s="31">
        <f t="shared" si="2"/>
        <v>55.079593657618922</v>
      </c>
      <c r="H20" s="121"/>
      <c r="I20" s="118"/>
    </row>
    <row r="21" spans="2:9" x14ac:dyDescent="0.25">
      <c r="B21" s="39">
        <f t="shared" si="3"/>
        <v>45689</v>
      </c>
      <c r="C21" s="39">
        <f t="shared" si="1"/>
        <v>45716</v>
      </c>
      <c r="D21" s="4">
        <f t="shared" si="6"/>
        <v>8083.4074625100793</v>
      </c>
      <c r="E21" s="92"/>
      <c r="F21" s="30">
        <f t="shared" si="0"/>
        <v>28</v>
      </c>
      <c r="G21" s="31">
        <f t="shared" si="2"/>
        <v>50.090623292275559</v>
      </c>
      <c r="H21" s="121"/>
      <c r="I21" s="118"/>
    </row>
    <row r="22" spans="2:9" x14ac:dyDescent="0.25">
      <c r="B22" s="39">
        <f t="shared" si="3"/>
        <v>45717</v>
      </c>
      <c r="C22" s="39">
        <f t="shared" si="1"/>
        <v>45747</v>
      </c>
      <c r="D22" s="4">
        <f t="shared" si="6"/>
        <v>8133.4980858023546</v>
      </c>
      <c r="E22" s="92"/>
      <c r="F22" s="30">
        <f t="shared" si="0"/>
        <v>31</v>
      </c>
      <c r="G22" s="31">
        <f t="shared" si="2"/>
        <v>55.801130309971889</v>
      </c>
      <c r="H22" s="121"/>
      <c r="I22" s="118"/>
    </row>
    <row r="23" spans="2:9" x14ac:dyDescent="0.25">
      <c r="B23" s="39">
        <f t="shared" si="3"/>
        <v>45748</v>
      </c>
      <c r="C23" s="39">
        <f t="shared" si="1"/>
        <v>45777</v>
      </c>
      <c r="D23" s="4">
        <f t="shared" si="6"/>
        <v>8189.2992161123266</v>
      </c>
      <c r="E23" s="92"/>
      <c r="F23" s="30">
        <f t="shared" si="0"/>
        <v>30</v>
      </c>
      <c r="G23" s="31">
        <f t="shared" si="2"/>
        <v>54.371576762712976</v>
      </c>
      <c r="H23" s="121"/>
      <c r="I23" s="118"/>
    </row>
    <row r="24" spans="2:9" x14ac:dyDescent="0.25">
      <c r="B24" s="39">
        <f t="shared" si="3"/>
        <v>45778</v>
      </c>
      <c r="C24" s="39">
        <f t="shared" si="1"/>
        <v>45808</v>
      </c>
      <c r="D24" s="4">
        <f t="shared" si="6"/>
        <v>8243.6707928750402</v>
      </c>
      <c r="E24" s="92"/>
      <c r="F24" s="30">
        <f t="shared" si="0"/>
        <v>31</v>
      </c>
      <c r="G24" s="31">
        <f t="shared" si="2"/>
        <v>56.556987324888588</v>
      </c>
      <c r="H24" s="121"/>
      <c r="I24" s="118"/>
    </row>
    <row r="25" spans="2:9" x14ac:dyDescent="0.25">
      <c r="B25" s="39">
        <f t="shared" si="3"/>
        <v>45809</v>
      </c>
      <c r="C25" s="39">
        <f t="shared" si="1"/>
        <v>45838</v>
      </c>
      <c r="D25" s="4">
        <f t="shared" si="6"/>
        <v>8300.227780199928</v>
      </c>
      <c r="E25" s="92"/>
      <c r="F25" s="30">
        <f t="shared" si="0"/>
        <v>30</v>
      </c>
      <c r="G25" s="31">
        <f t="shared" si="2"/>
        <v>55.10806968821263</v>
      </c>
      <c r="H25" s="121"/>
      <c r="I25" s="118"/>
    </row>
    <row r="26" spans="2:9" x14ac:dyDescent="0.25">
      <c r="B26" s="39">
        <f t="shared" si="3"/>
        <v>45839</v>
      </c>
      <c r="C26" s="39">
        <f t="shared" si="1"/>
        <v>45869</v>
      </c>
      <c r="D26" s="4">
        <f t="shared" si="6"/>
        <v>8355.3358498881407</v>
      </c>
      <c r="E26" s="92"/>
      <c r="F26" s="30">
        <f t="shared" si="0"/>
        <v>31</v>
      </c>
      <c r="G26" s="31">
        <f t="shared" si="2"/>
        <v>57.323082838986664</v>
      </c>
      <c r="H26" s="121"/>
      <c r="I26" s="118"/>
    </row>
    <row r="27" spans="2:9" x14ac:dyDescent="0.25">
      <c r="B27" s="39">
        <f t="shared" si="3"/>
        <v>45870</v>
      </c>
      <c r="C27" s="39">
        <f t="shared" si="1"/>
        <v>45900</v>
      </c>
      <c r="D27" s="4">
        <f t="shared" si="6"/>
        <v>8412.6589327271267</v>
      </c>
      <c r="E27" s="92"/>
      <c r="F27" s="30">
        <f t="shared" si="0"/>
        <v>31</v>
      </c>
      <c r="G27" s="31">
        <f t="shared" si="2"/>
        <v>57.716356776168887</v>
      </c>
      <c r="H27" s="121"/>
      <c r="I27" s="118"/>
    </row>
    <row r="28" spans="2:9" x14ac:dyDescent="0.25">
      <c r="B28" s="39">
        <f t="shared" si="3"/>
        <v>45901</v>
      </c>
      <c r="C28" s="39">
        <f t="shared" si="1"/>
        <v>45930</v>
      </c>
      <c r="D28" s="4">
        <f t="shared" si="6"/>
        <v>8470.3752895032958</v>
      </c>
      <c r="E28" s="92"/>
      <c r="F28" s="30">
        <f t="shared" si="0"/>
        <v>30</v>
      </c>
      <c r="G28" s="31">
        <f t="shared" si="2"/>
        <v>56.237737577849742</v>
      </c>
      <c r="H28" s="121"/>
      <c r="I28" s="118"/>
    </row>
    <row r="29" spans="2:9" x14ac:dyDescent="0.25">
      <c r="B29" s="39">
        <f t="shared" si="3"/>
        <v>45931</v>
      </c>
      <c r="C29" s="39">
        <f t="shared" si="1"/>
        <v>45961</v>
      </c>
      <c r="D29" s="4">
        <f t="shared" si="6"/>
        <v>8526.6130270811464</v>
      </c>
      <c r="E29" s="92"/>
      <c r="F29" s="30">
        <f t="shared" si="0"/>
        <v>31</v>
      </c>
      <c r="G29" s="31">
        <f t="shared" si="2"/>
        <v>58.498156587433762</v>
      </c>
      <c r="H29" s="121"/>
      <c r="I29" s="118"/>
    </row>
    <row r="30" spans="2:9" x14ac:dyDescent="0.25">
      <c r="B30" s="39">
        <f t="shared" si="3"/>
        <v>45962</v>
      </c>
      <c r="C30" s="39">
        <f t="shared" si="1"/>
        <v>45991</v>
      </c>
      <c r="D30" s="4">
        <f t="shared" si="6"/>
        <v>8585.1111836685795</v>
      </c>
      <c r="E30" s="92"/>
      <c r="F30" s="30">
        <f t="shared" si="0"/>
        <v>30</v>
      </c>
      <c r="G30" s="31">
        <f t="shared" si="2"/>
        <v>56.999508678455314</v>
      </c>
      <c r="H30" s="121">
        <f>H17-H18</f>
        <v>8000</v>
      </c>
      <c r="I30" s="118">
        <v>0.25</v>
      </c>
    </row>
    <row r="31" spans="2:9" x14ac:dyDescent="0.25">
      <c r="B31" s="39">
        <f t="shared" si="3"/>
        <v>45992</v>
      </c>
      <c r="C31" s="39">
        <f>B31+14</f>
        <v>46006</v>
      </c>
      <c r="D31" s="4">
        <f t="shared" si="6"/>
        <v>8642.1106923470343</v>
      </c>
      <c r="E31" s="92">
        <f>SUM(G19:G31)+H31</f>
        <v>2670.7996663667104</v>
      </c>
      <c r="F31" s="30">
        <f t="shared" si="0"/>
        <v>15</v>
      </c>
      <c r="G31" s="31">
        <f t="shared" si="2"/>
        <v>28.688974019676625</v>
      </c>
      <c r="H31" s="121">
        <f>H30*I30</f>
        <v>2000</v>
      </c>
      <c r="I31" s="118"/>
    </row>
    <row r="32" spans="2:9" x14ac:dyDescent="0.25">
      <c r="B32" s="39">
        <f t="shared" si="3"/>
        <v>46007</v>
      </c>
      <c r="C32" s="39">
        <f t="shared" si="1"/>
        <v>46022</v>
      </c>
      <c r="D32" s="4">
        <f t="shared" si="6"/>
        <v>6000</v>
      </c>
      <c r="E32" s="92"/>
      <c r="F32" s="30">
        <f t="shared" si="0"/>
        <v>16</v>
      </c>
      <c r="G32" s="31">
        <f t="shared" si="2"/>
        <v>21.245901639344257</v>
      </c>
      <c r="H32" s="54"/>
      <c r="I32" s="118"/>
    </row>
    <row r="33" spans="2:9" x14ac:dyDescent="0.25">
      <c r="B33" s="39">
        <f t="shared" si="3"/>
        <v>46023</v>
      </c>
      <c r="C33" s="39">
        <f t="shared" si="1"/>
        <v>46053</v>
      </c>
      <c r="D33" s="4">
        <f t="shared" si="6"/>
        <v>6021.2459016393441</v>
      </c>
      <c r="F33" s="30">
        <f t="shared" si="0"/>
        <v>31</v>
      </c>
      <c r="G33" s="31">
        <f t="shared" si="2"/>
        <v>41.309695243214186</v>
      </c>
      <c r="H33" s="121"/>
      <c r="I33" s="118"/>
    </row>
    <row r="34" spans="2:9" x14ac:dyDescent="0.25">
      <c r="B34" s="39">
        <f t="shared" si="3"/>
        <v>46054</v>
      </c>
      <c r="C34" s="39">
        <f t="shared" si="1"/>
        <v>46081</v>
      </c>
      <c r="D34" s="4">
        <f t="shared" si="6"/>
        <v>6062.5555968825583</v>
      </c>
      <c r="E34" s="92"/>
      <c r="F34" s="30">
        <f t="shared" si="0"/>
        <v>28</v>
      </c>
      <c r="G34" s="31">
        <f t="shared" si="2"/>
        <v>37.567967469206664</v>
      </c>
      <c r="H34" s="121"/>
      <c r="I34" s="118"/>
    </row>
    <row r="35" spans="2:9" x14ac:dyDescent="0.25">
      <c r="B35" s="39">
        <f t="shared" si="3"/>
        <v>46082</v>
      </c>
      <c r="C35" s="39">
        <f t="shared" si="1"/>
        <v>46112</v>
      </c>
      <c r="D35" s="4">
        <f t="shared" si="6"/>
        <v>6100.1235643517648</v>
      </c>
      <c r="E35" s="92"/>
      <c r="F35" s="30">
        <f t="shared" si="0"/>
        <v>31</v>
      </c>
      <c r="G35" s="31">
        <f t="shared" si="2"/>
        <v>41.850847732478904</v>
      </c>
      <c r="H35" s="121"/>
      <c r="I35" s="118"/>
    </row>
    <row r="36" spans="2:9" x14ac:dyDescent="0.25">
      <c r="B36" s="39">
        <f t="shared" si="3"/>
        <v>46113</v>
      </c>
      <c r="C36" s="39">
        <f t="shared" si="1"/>
        <v>46142</v>
      </c>
      <c r="D36" s="4">
        <f t="shared" si="6"/>
        <v>6141.9744120842433</v>
      </c>
      <c r="E36" s="92"/>
      <c r="F36" s="30">
        <f t="shared" si="0"/>
        <v>30</v>
      </c>
      <c r="G36" s="31">
        <f t="shared" si="2"/>
        <v>40.778682572034725</v>
      </c>
      <c r="H36" s="121"/>
      <c r="I36" s="118"/>
    </row>
    <row r="37" spans="2:9" x14ac:dyDescent="0.25">
      <c r="B37" s="39">
        <f t="shared" si="3"/>
        <v>46143</v>
      </c>
      <c r="C37" s="39">
        <f t="shared" si="1"/>
        <v>46173</v>
      </c>
      <c r="D37" s="4">
        <f t="shared" si="6"/>
        <v>6182.7530946562783</v>
      </c>
      <c r="E37" s="92"/>
      <c r="F37" s="30">
        <f t="shared" si="0"/>
        <v>31</v>
      </c>
      <c r="G37" s="31">
        <f t="shared" si="2"/>
        <v>42.417740493666429</v>
      </c>
      <c r="H37" s="121"/>
      <c r="I37" s="118"/>
    </row>
    <row r="38" spans="2:9" x14ac:dyDescent="0.25">
      <c r="B38" s="39">
        <f t="shared" si="3"/>
        <v>46174</v>
      </c>
      <c r="C38" s="39">
        <f t="shared" si="1"/>
        <v>46203</v>
      </c>
      <c r="D38" s="4">
        <f t="shared" si="6"/>
        <v>6225.1708351499447</v>
      </c>
      <c r="E38" s="92"/>
      <c r="F38" s="30">
        <f t="shared" si="0"/>
        <v>30</v>
      </c>
      <c r="G38" s="31">
        <f t="shared" si="2"/>
        <v>41.33105226615946</v>
      </c>
      <c r="H38" s="121"/>
      <c r="I38" s="118"/>
    </row>
    <row r="39" spans="2:9" x14ac:dyDescent="0.25">
      <c r="B39" s="39">
        <f t="shared" si="3"/>
        <v>46204</v>
      </c>
      <c r="C39" s="39">
        <f t="shared" si="1"/>
        <v>46234</v>
      </c>
      <c r="D39" s="4">
        <f t="shared" si="6"/>
        <v>6266.5018874161042</v>
      </c>
      <c r="E39" s="92"/>
      <c r="F39" s="30">
        <f t="shared" si="0"/>
        <v>31</v>
      </c>
      <c r="G39" s="31">
        <f t="shared" si="2"/>
        <v>42.992312129239991</v>
      </c>
      <c r="H39" s="121"/>
      <c r="I39" s="118"/>
    </row>
    <row r="40" spans="2:9" x14ac:dyDescent="0.25">
      <c r="B40" s="39">
        <f t="shared" si="3"/>
        <v>46235</v>
      </c>
      <c r="C40" s="39">
        <f t="shared" si="1"/>
        <v>46265</v>
      </c>
      <c r="D40" s="4">
        <f t="shared" si="6"/>
        <v>6309.4941995453446</v>
      </c>
      <c r="E40" s="92"/>
      <c r="F40" s="30">
        <f t="shared" si="0"/>
        <v>31</v>
      </c>
      <c r="G40" s="31">
        <f t="shared" si="2"/>
        <v>43.28726758212666</v>
      </c>
      <c r="H40" s="121"/>
      <c r="I40" s="118"/>
    </row>
    <row r="41" spans="2:9" x14ac:dyDescent="0.25">
      <c r="B41" s="39">
        <f t="shared" si="3"/>
        <v>46266</v>
      </c>
      <c r="C41" s="39">
        <f t="shared" si="1"/>
        <v>46295</v>
      </c>
      <c r="D41" s="4">
        <f t="shared" si="6"/>
        <v>6352.7814671274709</v>
      </c>
      <c r="E41" s="92"/>
      <c r="F41" s="30">
        <f t="shared" si="0"/>
        <v>30</v>
      </c>
      <c r="G41" s="31">
        <f t="shared" si="2"/>
        <v>42.1783031833873</v>
      </c>
      <c r="H41" s="121"/>
      <c r="I41" s="118"/>
    </row>
    <row r="42" spans="2:9" x14ac:dyDescent="0.25">
      <c r="B42" s="39">
        <f t="shared" si="3"/>
        <v>46296</v>
      </c>
      <c r="C42" s="39">
        <f t="shared" si="1"/>
        <v>46326</v>
      </c>
      <c r="D42" s="4">
        <f t="shared" si="6"/>
        <v>6394.9597703108584</v>
      </c>
      <c r="E42" s="92"/>
      <c r="F42" s="30">
        <f t="shared" si="0"/>
        <v>31</v>
      </c>
      <c r="G42" s="31">
        <f t="shared" si="2"/>
        <v>43.873617440575309</v>
      </c>
      <c r="H42" s="121"/>
      <c r="I42" s="118"/>
    </row>
    <row r="43" spans="2:9" x14ac:dyDescent="0.25">
      <c r="B43" s="39">
        <f t="shared" si="3"/>
        <v>46327</v>
      </c>
      <c r="C43" s="39">
        <f t="shared" si="1"/>
        <v>46356</v>
      </c>
      <c r="D43" s="4">
        <f t="shared" si="6"/>
        <v>6438.8333877514333</v>
      </c>
      <c r="E43" s="92"/>
      <c r="F43" s="30">
        <f t="shared" si="0"/>
        <v>30</v>
      </c>
      <c r="G43" s="31">
        <f t="shared" si="2"/>
        <v>42.749631508841475</v>
      </c>
      <c r="H43" s="121">
        <f>H30-H31</f>
        <v>6000</v>
      </c>
      <c r="I43" s="118">
        <v>0.33329999999999999</v>
      </c>
    </row>
    <row r="44" spans="2:9" x14ac:dyDescent="0.25">
      <c r="B44" s="39">
        <f t="shared" si="3"/>
        <v>46357</v>
      </c>
      <c r="C44" s="39">
        <f>B44+14</f>
        <v>46371</v>
      </c>
      <c r="D44" s="4">
        <f t="shared" si="6"/>
        <v>6481.5830192602743</v>
      </c>
      <c r="E44" s="92">
        <f>SUM(G32:G44)+H44</f>
        <v>2502.8997497750329</v>
      </c>
      <c r="F44" s="30">
        <f t="shared" si="0"/>
        <v>15</v>
      </c>
      <c r="G44" s="31">
        <f t="shared" si="2"/>
        <v>21.516730514757466</v>
      </c>
      <c r="H44" s="121">
        <f>H43*I43</f>
        <v>1999.8</v>
      </c>
      <c r="I44" s="118"/>
    </row>
    <row r="45" spans="2:9" x14ac:dyDescent="0.25">
      <c r="B45" s="39">
        <f t="shared" si="3"/>
        <v>46372</v>
      </c>
      <c r="C45" s="39">
        <f t="shared" si="1"/>
        <v>46387</v>
      </c>
      <c r="D45" s="4">
        <f t="shared" si="6"/>
        <v>4000.1999999999994</v>
      </c>
      <c r="E45" s="92"/>
      <c r="F45" s="30">
        <f t="shared" si="0"/>
        <v>16</v>
      </c>
      <c r="G45" s="31">
        <f t="shared" si="2"/>
        <v>14.164642622950815</v>
      </c>
      <c r="H45" s="54"/>
      <c r="I45" s="119"/>
    </row>
    <row r="46" spans="2:9" x14ac:dyDescent="0.25">
      <c r="B46" s="39">
        <f t="shared" si="3"/>
        <v>46388</v>
      </c>
      <c r="C46" s="39">
        <f t="shared" si="1"/>
        <v>46418</v>
      </c>
      <c r="D46" s="4">
        <f t="shared" si="6"/>
        <v>4014.3646426229502</v>
      </c>
      <c r="F46" s="30">
        <f t="shared" si="0"/>
        <v>31</v>
      </c>
      <c r="G46" s="31">
        <f t="shared" si="2"/>
        <v>27.541173818650893</v>
      </c>
      <c r="H46" s="121"/>
      <c r="I46" s="118"/>
    </row>
    <row r="47" spans="2:9" x14ac:dyDescent="0.25">
      <c r="B47" s="39">
        <f t="shared" si="3"/>
        <v>46419</v>
      </c>
      <c r="C47" s="39">
        <f t="shared" si="1"/>
        <v>46446</v>
      </c>
      <c r="D47" s="4">
        <f t="shared" si="6"/>
        <v>4041.905816441601</v>
      </c>
      <c r="E47" s="92"/>
      <c r="F47" s="30">
        <f t="shared" si="0"/>
        <v>28</v>
      </c>
      <c r="G47" s="31">
        <f t="shared" si="2"/>
        <v>25.046563911720078</v>
      </c>
      <c r="H47" s="121"/>
      <c r="I47" s="118"/>
    </row>
    <row r="48" spans="2:9" x14ac:dyDescent="0.25">
      <c r="B48" s="39">
        <f t="shared" si="3"/>
        <v>46447</v>
      </c>
      <c r="C48" s="39">
        <f t="shared" si="1"/>
        <v>46477</v>
      </c>
      <c r="D48" s="4">
        <f t="shared" si="6"/>
        <v>4066.9523803533211</v>
      </c>
      <c r="E48" s="92"/>
      <c r="F48" s="30">
        <f t="shared" si="0"/>
        <v>31</v>
      </c>
      <c r="G48" s="31">
        <f t="shared" si="2"/>
        <v>27.901960183243684</v>
      </c>
      <c r="H48" s="121"/>
      <c r="I48" s="118"/>
    </row>
    <row r="49" spans="2:9" x14ac:dyDescent="0.25">
      <c r="B49" s="39">
        <f t="shared" si="3"/>
        <v>46478</v>
      </c>
      <c r="C49" s="39">
        <f t="shared" si="1"/>
        <v>46507</v>
      </c>
      <c r="D49" s="4">
        <f t="shared" si="6"/>
        <v>4094.8543405365649</v>
      </c>
      <c r="E49" s="92"/>
      <c r="F49" s="30">
        <f t="shared" si="0"/>
        <v>30</v>
      </c>
      <c r="G49" s="31">
        <f t="shared" si="2"/>
        <v>27.187147670775548</v>
      </c>
      <c r="H49" s="121"/>
      <c r="I49" s="118"/>
    </row>
    <row r="50" spans="2:9" x14ac:dyDescent="0.25">
      <c r="B50" s="39">
        <f t="shared" si="3"/>
        <v>46508</v>
      </c>
      <c r="C50" s="39">
        <f t="shared" si="1"/>
        <v>46538</v>
      </c>
      <c r="D50" s="4">
        <f t="shared" si="6"/>
        <v>4122.0414882073401</v>
      </c>
      <c r="E50" s="92"/>
      <c r="F50" s="30">
        <f t="shared" si="0"/>
        <v>31</v>
      </c>
      <c r="G50" s="31">
        <f t="shared" si="2"/>
        <v>28.279907587127404</v>
      </c>
      <c r="H50" s="121"/>
      <c r="I50" s="118"/>
    </row>
    <row r="51" spans="2:9" x14ac:dyDescent="0.25">
      <c r="B51" s="39">
        <f t="shared" si="3"/>
        <v>46539</v>
      </c>
      <c r="C51" s="39">
        <f t="shared" si="1"/>
        <v>46568</v>
      </c>
      <c r="D51" s="4">
        <f t="shared" si="6"/>
        <v>4150.3213957944672</v>
      </c>
      <c r="E51" s="92"/>
      <c r="F51" s="30">
        <f t="shared" si="0"/>
        <v>30</v>
      </c>
      <c r="G51" s="31">
        <f t="shared" si="2"/>
        <v>27.555412545848508</v>
      </c>
      <c r="H51" s="121"/>
      <c r="I51" s="118"/>
    </row>
    <row r="52" spans="2:9" x14ac:dyDescent="0.25">
      <c r="B52" s="39">
        <f t="shared" si="3"/>
        <v>46569</v>
      </c>
      <c r="C52" s="39">
        <f t="shared" si="1"/>
        <v>46599</v>
      </c>
      <c r="D52" s="4">
        <f t="shared" si="6"/>
        <v>4177.8768083403156</v>
      </c>
      <c r="E52" s="92"/>
      <c r="F52" s="30">
        <f t="shared" si="0"/>
        <v>31</v>
      </c>
      <c r="G52" s="31">
        <f t="shared" si="2"/>
        <v>28.662974496564292</v>
      </c>
      <c r="H52" s="121"/>
      <c r="I52" s="118"/>
    </row>
    <row r="53" spans="2:9" x14ac:dyDescent="0.25">
      <c r="B53" s="39">
        <f t="shared" si="3"/>
        <v>46600</v>
      </c>
      <c r="C53" s="39">
        <f t="shared" si="1"/>
        <v>46630</v>
      </c>
      <c r="D53" s="4">
        <f t="shared" si="6"/>
        <v>4206.5397828368796</v>
      </c>
      <c r="E53" s="92"/>
      <c r="F53" s="30">
        <f t="shared" si="0"/>
        <v>31</v>
      </c>
      <c r="G53" s="31">
        <f t="shared" si="2"/>
        <v>28.859621297003834</v>
      </c>
      <c r="H53" s="121"/>
      <c r="I53" s="118"/>
    </row>
    <row r="54" spans="2:9" x14ac:dyDescent="0.25">
      <c r="B54" s="39">
        <f t="shared" si="3"/>
        <v>46631</v>
      </c>
      <c r="C54" s="39">
        <f t="shared" si="1"/>
        <v>46660</v>
      </c>
      <c r="D54" s="4">
        <f t="shared" si="6"/>
        <v>4235.3994041338838</v>
      </c>
      <c r="E54" s="92"/>
      <c r="F54" s="30">
        <f t="shared" si="0"/>
        <v>30</v>
      </c>
      <c r="G54" s="31">
        <f t="shared" si="2"/>
        <v>28.120274732364305</v>
      </c>
      <c r="H54" s="121"/>
      <c r="I54" s="118"/>
    </row>
    <row r="55" spans="2:9" x14ac:dyDescent="0.25">
      <c r="B55" s="39">
        <f t="shared" si="3"/>
        <v>46661</v>
      </c>
      <c r="C55" s="39">
        <f t="shared" si="1"/>
        <v>46691</v>
      </c>
      <c r="D55" s="4">
        <f t="shared" si="6"/>
        <v>4263.5196788662479</v>
      </c>
      <c r="E55" s="92"/>
      <c r="F55" s="30">
        <f t="shared" si="0"/>
        <v>31</v>
      </c>
      <c r="G55" s="31">
        <f t="shared" si="2"/>
        <v>29.25054074763155</v>
      </c>
      <c r="H55" s="121"/>
      <c r="I55" s="118"/>
    </row>
    <row r="56" spans="2:9" x14ac:dyDescent="0.25">
      <c r="B56" s="39">
        <f t="shared" si="3"/>
        <v>46692</v>
      </c>
      <c r="C56" s="39">
        <f t="shared" si="1"/>
        <v>46721</v>
      </c>
      <c r="D56" s="4">
        <f t="shared" si="6"/>
        <v>4292.7702196138798</v>
      </c>
      <c r="F56" s="30">
        <f t="shared" si="0"/>
        <v>30</v>
      </c>
      <c r="G56" s="31">
        <f t="shared" si="2"/>
        <v>28.501179326944605</v>
      </c>
      <c r="H56" s="121">
        <f>H43-H44</f>
        <v>4000.2</v>
      </c>
      <c r="I56" s="118">
        <v>0.5</v>
      </c>
    </row>
    <row r="57" spans="2:9" x14ac:dyDescent="0.25">
      <c r="B57" s="39">
        <f t="shared" si="3"/>
        <v>46722</v>
      </c>
      <c r="C57" s="39">
        <f>B57+14</f>
        <v>46736</v>
      </c>
      <c r="D57" s="4">
        <f t="shared" si="6"/>
        <v>4321.2713989408248</v>
      </c>
      <c r="E57" s="92">
        <f>SUM(G45:G57)+H57</f>
        <v>2335.5166031750141</v>
      </c>
      <c r="F57" s="30">
        <f t="shared" si="0"/>
        <v>15</v>
      </c>
      <c r="G57" s="31">
        <f t="shared" si="2"/>
        <v>14.345204234188801</v>
      </c>
      <c r="H57" s="121">
        <f>H56*I56</f>
        <v>2000.1</v>
      </c>
      <c r="I57" s="121"/>
    </row>
    <row r="58" spans="2:9" x14ac:dyDescent="0.25">
      <c r="B58" s="39">
        <f t="shared" si="3"/>
        <v>46737</v>
      </c>
      <c r="C58" s="39">
        <f t="shared" si="1"/>
        <v>46752</v>
      </c>
      <c r="D58" s="4">
        <f t="shared" si="6"/>
        <v>2000.0999999999995</v>
      </c>
      <c r="E58" s="92"/>
      <c r="F58" s="30">
        <f t="shared" si="0"/>
        <v>16</v>
      </c>
      <c r="G58" s="31">
        <f t="shared" si="2"/>
        <v>7.0823213114754067</v>
      </c>
      <c r="H58" s="121"/>
      <c r="I58" s="121"/>
    </row>
    <row r="59" spans="2:9" x14ac:dyDescent="0.25">
      <c r="B59" s="39">
        <f t="shared" si="3"/>
        <v>46753</v>
      </c>
      <c r="C59" s="39">
        <f t="shared" si="1"/>
        <v>46783</v>
      </c>
      <c r="D59" s="4">
        <f t="shared" si="6"/>
        <v>2007.1823213114749</v>
      </c>
      <c r="E59" s="92"/>
      <c r="F59" s="30">
        <f t="shared" si="0"/>
        <v>31</v>
      </c>
      <c r="G59" s="31">
        <f t="shared" si="2"/>
        <v>13.770586909325445</v>
      </c>
      <c r="H59" s="121"/>
      <c r="I59" s="121"/>
    </row>
    <row r="60" spans="2:9" x14ac:dyDescent="0.25">
      <c r="B60" s="39">
        <f t="shared" si="3"/>
        <v>46784</v>
      </c>
      <c r="C60" s="39">
        <f t="shared" si="1"/>
        <v>46812</v>
      </c>
      <c r="D60" s="4">
        <f t="shared" si="6"/>
        <v>2020.9529082208003</v>
      </c>
      <c r="E60" s="92"/>
      <c r="F60" s="30">
        <f t="shared" si="0"/>
        <v>29</v>
      </c>
      <c r="G60" s="31">
        <f t="shared" si="2"/>
        <v>12.970542025712184</v>
      </c>
      <c r="H60" s="121"/>
      <c r="I60" s="121"/>
    </row>
    <row r="61" spans="2:9" x14ac:dyDescent="0.25">
      <c r="B61" s="39">
        <f t="shared" si="3"/>
        <v>46813</v>
      </c>
      <c r="C61" s="39">
        <f t="shared" si="1"/>
        <v>46843</v>
      </c>
      <c r="D61" s="4">
        <f t="shared" si="6"/>
        <v>2033.9234502465124</v>
      </c>
      <c r="E61" s="92"/>
      <c r="F61" s="30">
        <f t="shared" si="0"/>
        <v>31</v>
      </c>
      <c r="G61" s="31">
        <f t="shared" si="2"/>
        <v>13.954048588986318</v>
      </c>
      <c r="H61" s="121"/>
      <c r="I61" s="121"/>
    </row>
    <row r="62" spans="2:9" x14ac:dyDescent="0.25">
      <c r="B62" s="39">
        <f t="shared" si="3"/>
        <v>46844</v>
      </c>
      <c r="C62" s="39">
        <f t="shared" si="1"/>
        <v>46873</v>
      </c>
      <c r="D62" s="4">
        <f t="shared" si="6"/>
        <v>2047.8774988354987</v>
      </c>
      <c r="E62" s="92"/>
      <c r="F62" s="30">
        <f t="shared" si="0"/>
        <v>30</v>
      </c>
      <c r="G62" s="31">
        <f t="shared" si="2"/>
        <v>13.59656372177667</v>
      </c>
      <c r="H62" s="121"/>
      <c r="I62" s="121"/>
    </row>
    <row r="63" spans="2:9" x14ac:dyDescent="0.25">
      <c r="B63" s="39">
        <f t="shared" ref="B63:B64" si="7">C62+1</f>
        <v>46874</v>
      </c>
      <c r="C63" s="39">
        <f t="shared" si="1"/>
        <v>46904</v>
      </c>
      <c r="D63" s="4">
        <f t="shared" si="6"/>
        <v>2061.4740625572754</v>
      </c>
      <c r="E63" s="92"/>
      <c r="F63" s="30">
        <f t="shared" si="0"/>
        <v>31</v>
      </c>
      <c r="G63" s="31">
        <f t="shared" si="2"/>
        <v>14.143063855413438</v>
      </c>
      <c r="H63" s="121"/>
      <c r="I63" s="121"/>
    </row>
    <row r="64" spans="2:9" x14ac:dyDescent="0.25">
      <c r="B64" s="39">
        <f t="shared" si="7"/>
        <v>46905</v>
      </c>
      <c r="C64" s="39">
        <f t="shared" si="1"/>
        <v>46934</v>
      </c>
      <c r="D64" s="4">
        <f t="shared" si="6"/>
        <v>2075.6171264126888</v>
      </c>
      <c r="E64" s="92"/>
      <c r="F64" s="30">
        <f t="shared" si="0"/>
        <v>30</v>
      </c>
      <c r="G64" s="31">
        <f t="shared" si="2"/>
        <v>13.780736658969488</v>
      </c>
      <c r="H64" s="121"/>
      <c r="I64" s="121"/>
    </row>
    <row r="65" spans="2:9" x14ac:dyDescent="0.25">
      <c r="B65" s="39">
        <f t="shared" ref="B65:B71" si="8">C64+1</f>
        <v>46935</v>
      </c>
      <c r="C65" s="39">
        <f t="shared" si="1"/>
        <v>46965</v>
      </c>
      <c r="D65" s="4">
        <f t="shared" si="6"/>
        <v>2089.3978630716583</v>
      </c>
      <c r="E65" s="92"/>
      <c r="F65" s="30">
        <f t="shared" si="0"/>
        <v>31</v>
      </c>
      <c r="G65" s="31">
        <f t="shared" si="2"/>
        <v>14.334639437630965</v>
      </c>
      <c r="H65" s="121"/>
      <c r="I65" s="121"/>
    </row>
    <row r="66" spans="2:9" x14ac:dyDescent="0.25">
      <c r="B66" s="39">
        <f t="shared" si="8"/>
        <v>46966</v>
      </c>
      <c r="C66" s="39">
        <f t="shared" si="1"/>
        <v>46996</v>
      </c>
      <c r="D66" s="4">
        <f t="shared" si="6"/>
        <v>2103.7325025092891</v>
      </c>
      <c r="E66" s="92"/>
      <c r="F66" s="30">
        <f t="shared" si="0"/>
        <v>31</v>
      </c>
      <c r="G66" s="31">
        <f t="shared" si="2"/>
        <v>14.432984463936679</v>
      </c>
      <c r="H66" s="121"/>
      <c r="I66" s="121"/>
    </row>
    <row r="67" spans="2:9" x14ac:dyDescent="0.25">
      <c r="B67" s="39">
        <f t="shared" si="8"/>
        <v>46997</v>
      </c>
      <c r="C67" s="39">
        <f t="shared" si="1"/>
        <v>47026</v>
      </c>
      <c r="D67" s="4">
        <f t="shared" si="6"/>
        <v>2118.1654869732256</v>
      </c>
      <c r="E67" s="92"/>
      <c r="F67" s="30">
        <f t="shared" si="0"/>
        <v>30</v>
      </c>
      <c r="G67" s="31">
        <f t="shared" si="2"/>
        <v>14.063229872527151</v>
      </c>
      <c r="H67" s="121"/>
      <c r="I67" s="121"/>
    </row>
    <row r="68" spans="2:9" x14ac:dyDescent="0.25">
      <c r="B68" s="39">
        <f t="shared" si="8"/>
        <v>47027</v>
      </c>
      <c r="C68" s="39">
        <f t="shared" si="1"/>
        <v>47057</v>
      </c>
      <c r="D68" s="4">
        <f t="shared" si="6"/>
        <v>2132.2287168457528</v>
      </c>
      <c r="E68" s="92"/>
      <c r="F68" s="30">
        <f t="shared" si="0"/>
        <v>31</v>
      </c>
      <c r="G68" s="31">
        <f t="shared" si="2"/>
        <v>14.628487180327008</v>
      </c>
      <c r="H68" s="121"/>
      <c r="I68" s="121"/>
    </row>
    <row r="69" spans="2:9" x14ac:dyDescent="0.25">
      <c r="B69" s="39">
        <f t="shared" si="8"/>
        <v>47058</v>
      </c>
      <c r="C69" s="39">
        <f t="shared" si="1"/>
        <v>47087</v>
      </c>
      <c r="D69" s="4">
        <f t="shared" si="6"/>
        <v>2146.8572040260797</v>
      </c>
      <c r="E69" s="92"/>
      <c r="F69" s="30">
        <f t="shared" si="0"/>
        <v>30</v>
      </c>
      <c r="G69" s="31">
        <f t="shared" si="2"/>
        <v>14.253724059517412</v>
      </c>
      <c r="H69" s="121">
        <f>H56-H57</f>
        <v>2000.1</v>
      </c>
      <c r="I69" s="118">
        <v>1</v>
      </c>
    </row>
    <row r="70" spans="2:9" x14ac:dyDescent="0.25">
      <c r="B70" s="39">
        <f t="shared" si="8"/>
        <v>47088</v>
      </c>
      <c r="C70" s="39">
        <f>B70+14</f>
        <v>47102</v>
      </c>
      <c r="D70" s="4">
        <f t="shared" si="6"/>
        <v>2161.1109280855972</v>
      </c>
      <c r="E70" s="92">
        <f>SUM(G58:G70)+H70</f>
        <v>2168.285107805882</v>
      </c>
      <c r="F70" s="30">
        <f t="shared" si="0"/>
        <v>15</v>
      </c>
      <c r="G70" s="31">
        <f t="shared" si="2"/>
        <v>7.1741797202841529</v>
      </c>
      <c r="H70" s="121">
        <f>H69*I69</f>
        <v>2000.1</v>
      </c>
      <c r="I70" s="121"/>
    </row>
    <row r="71" spans="2:9" x14ac:dyDescent="0.25">
      <c r="B71" s="39">
        <f t="shared" si="8"/>
        <v>47103</v>
      </c>
      <c r="C71" s="39">
        <f>B71</f>
        <v>47103</v>
      </c>
      <c r="D71" s="4">
        <f t="shared" si="6"/>
        <v>0</v>
      </c>
      <c r="E71" s="92"/>
      <c r="F71" s="30"/>
      <c r="G71" s="31">
        <f t="shared" si="2"/>
        <v>0</v>
      </c>
      <c r="H71" s="121">
        <f>H70*I70</f>
        <v>0</v>
      </c>
      <c r="I71" s="121"/>
    </row>
    <row r="72" spans="2:9" x14ac:dyDescent="0.25">
      <c r="B72" s="39"/>
      <c r="C72" s="39"/>
      <c r="D72" s="4"/>
      <c r="E72" s="92"/>
      <c r="F72" s="30"/>
      <c r="G72" s="31"/>
      <c r="H72" s="121"/>
      <c r="I72" s="121"/>
    </row>
    <row r="73" spans="2:9" x14ac:dyDescent="0.25">
      <c r="B73" s="39"/>
      <c r="C73" s="39"/>
      <c r="D73" s="4"/>
      <c r="E73" s="92"/>
      <c r="F73" s="30"/>
      <c r="G73" s="31"/>
      <c r="H73" s="121"/>
      <c r="I73" s="121"/>
    </row>
    <row r="74" spans="2:9" s="32" customFormat="1" x14ac:dyDescent="0.25">
      <c r="B74" s="33" t="s">
        <v>44</v>
      </c>
      <c r="C74" s="33"/>
      <c r="D74" s="17"/>
      <c r="E74" s="94"/>
      <c r="F74" s="34"/>
      <c r="G74" s="31">
        <f>SUM(G9:G73)</f>
        <v>2338.1044430590614</v>
      </c>
      <c r="H74" s="121"/>
      <c r="I74" s="121"/>
    </row>
    <row r="76" spans="2:9" x14ac:dyDescent="0.25">
      <c r="B76" s="22" t="s">
        <v>12</v>
      </c>
      <c r="C76" s="36">
        <f>SUM(F9:F72)</f>
        <v>1751</v>
      </c>
      <c r="D76" s="37">
        <f>C76/366</f>
        <v>4.7841530054644812</v>
      </c>
      <c r="E76" s="37">
        <f>D76*12</f>
        <v>57.409836065573771</v>
      </c>
    </row>
    <row r="77" spans="2:9" x14ac:dyDescent="0.25">
      <c r="B77" s="22" t="s">
        <v>13</v>
      </c>
      <c r="C77" s="79">
        <f>SUM(G9:G72)</f>
        <v>2338.1044430590614</v>
      </c>
    </row>
    <row r="78" spans="2:9" x14ac:dyDescent="0.25">
      <c r="B78" s="22" t="s">
        <v>16</v>
      </c>
      <c r="C78" s="24">
        <f>C77+C5</f>
        <v>12338.104443059061</v>
      </c>
    </row>
    <row r="79" spans="2:9" x14ac:dyDescent="0.25">
      <c r="B79" s="22" t="s">
        <v>17</v>
      </c>
      <c r="C79" s="25">
        <f>EFFECT(F5,E76)</f>
        <v>8.4308549021311574E-2</v>
      </c>
    </row>
    <row r="80" spans="2:9" ht="15.75" thickBot="1" x14ac:dyDescent="0.3">
      <c r="C80" s="37"/>
    </row>
    <row r="81" spans="2:6" x14ac:dyDescent="0.25">
      <c r="B81" s="63" t="s">
        <v>20</v>
      </c>
      <c r="C81" s="88">
        <f>C5</f>
        <v>10000</v>
      </c>
      <c r="D81" s="64"/>
      <c r="E81" s="90" t="s">
        <v>23</v>
      </c>
      <c r="F81" s="91">
        <f>SUM(G9:G72)</f>
        <v>2338.1044430590614</v>
      </c>
    </row>
    <row r="82" spans="2:6" x14ac:dyDescent="0.25">
      <c r="B82" s="43"/>
      <c r="E82" s="87"/>
      <c r="F82" s="45"/>
    </row>
    <row r="83" spans="2:6" ht="15.75" thickBot="1" x14ac:dyDescent="0.3">
      <c r="B83" s="43" t="s">
        <v>21</v>
      </c>
      <c r="C83" s="86">
        <f>H18+H31+H44+H57+H70</f>
        <v>10000</v>
      </c>
      <c r="E83" s="87" t="s">
        <v>24</v>
      </c>
      <c r="F83" s="46">
        <f>(E18-H18)+(E31-H31)+(E44-H44)+(E57-H57)+(E70-H70)</f>
        <v>2338.1044430590614</v>
      </c>
    </row>
    <row r="84" spans="2:6" ht="15.75" thickTop="1" x14ac:dyDescent="0.25">
      <c r="B84" s="43"/>
      <c r="F84" s="45"/>
    </row>
    <row r="85" spans="2:6" x14ac:dyDescent="0.25">
      <c r="B85" s="43" t="s">
        <v>22</v>
      </c>
      <c r="C85" s="47">
        <f>C81-C83</f>
        <v>0</v>
      </c>
      <c r="E85" s="87" t="s">
        <v>25</v>
      </c>
      <c r="F85" s="44">
        <f>F81-F83</f>
        <v>0</v>
      </c>
    </row>
    <row r="86" spans="2:6" ht="15.75" thickBot="1" x14ac:dyDescent="0.3">
      <c r="B86" s="48"/>
      <c r="C86" s="49"/>
      <c r="D86" s="49"/>
      <c r="E86" s="49"/>
      <c r="F86" s="50"/>
    </row>
  </sheetData>
  <mergeCells count="2">
    <mergeCell ref="B1:I1"/>
    <mergeCell ref="B2:I2"/>
  </mergeCells>
  <pageMargins left="0.7" right="0.7" top="0.75" bottom="0.75" header="0.3" footer="0.3"/>
  <pageSetup scale="52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6F5E1-97CA-4D32-BFBF-3E6FCFDEE1BB}">
  <sheetPr>
    <tabColor rgb="FF00B050"/>
    <pageSetUpPr fitToPage="1"/>
  </sheetPr>
  <dimension ref="A1:P86"/>
  <sheetViews>
    <sheetView zoomScaleNormal="100" workbookViewId="0">
      <selection activeCell="C84" sqref="C84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0" style="22" customWidth="1"/>
    <col min="9" max="9" width="14.140625" style="22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3"/>
    </row>
    <row r="2" spans="1:16" ht="23.25" x14ac:dyDescent="0.35">
      <c r="A2" s="21"/>
      <c r="B2" s="113" t="s">
        <v>30</v>
      </c>
      <c r="C2" s="113"/>
      <c r="D2" s="113"/>
      <c r="E2" s="113"/>
      <c r="F2" s="113"/>
      <c r="G2" s="113"/>
      <c r="H2" s="113"/>
      <c r="I2" s="113"/>
      <c r="K2" s="47">
        <f>$C$5*L2</f>
        <v>2000</v>
      </c>
      <c r="L2" s="83">
        <v>0.2</v>
      </c>
    </row>
    <row r="3" spans="1:16" x14ac:dyDescent="0.25">
      <c r="K3" s="47">
        <f>($C$5-$K$2)*L3</f>
        <v>2000</v>
      </c>
      <c r="L3" s="83">
        <v>0.25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K4" s="47">
        <f>($C$5-$K$2-$K$3)*L4</f>
        <v>1999.9999999980002</v>
      </c>
      <c r="L4" s="83">
        <v>0.33333333333300003</v>
      </c>
      <c r="M4" s="22"/>
      <c r="N4" s="22"/>
      <c r="O4" s="22"/>
      <c r="P4" s="22"/>
    </row>
    <row r="5" spans="1:16" x14ac:dyDescent="0.25">
      <c r="B5" s="72">
        <v>45352</v>
      </c>
      <c r="C5" s="20">
        <v>10000</v>
      </c>
      <c r="D5" s="24">
        <f>C5/5</f>
        <v>2000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  <c r="K5" s="47">
        <f>($C$5-$K$2-$K$3-$K$4)*L5</f>
        <v>2000.000000001</v>
      </c>
      <c r="L5" s="83">
        <v>0.5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($C$5-$K$2-$K$3-$K$4-$K$5)*L6</f>
        <v>2000.000000001</v>
      </c>
      <c r="L6" s="83">
        <v>1</v>
      </c>
    </row>
    <row r="7" spans="1:16" x14ac:dyDescent="0.25">
      <c r="C7" s="26"/>
      <c r="E7" s="93"/>
      <c r="F7" s="67"/>
      <c r="G7" s="25"/>
      <c r="K7" s="47">
        <f>($C$5-$K$2-$K$3-$K$4-$K$5-$K$6)*L7</f>
        <v>0</v>
      </c>
      <c r="L7" s="95">
        <v>0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14" t="s">
        <v>19</v>
      </c>
      <c r="M8" s="22"/>
      <c r="N8" s="22"/>
      <c r="O8" s="22"/>
      <c r="P8" s="22"/>
    </row>
    <row r="9" spans="1:16" x14ac:dyDescent="0.25">
      <c r="B9" s="39">
        <f>B5</f>
        <v>45352</v>
      </c>
      <c r="C9" s="39">
        <f>EOMONTH(B9,0)</f>
        <v>45382</v>
      </c>
      <c r="D9" s="4">
        <f>C5</f>
        <v>10000</v>
      </c>
      <c r="E9" s="92"/>
      <c r="F9" s="30">
        <f t="shared" ref="F9:F70" si="0">C9-B9+1</f>
        <v>31</v>
      </c>
      <c r="G9" s="31">
        <f>$G$5*F9*D9</f>
        <v>68.606557377049171</v>
      </c>
      <c r="H9" s="101"/>
      <c r="I9" s="115"/>
    </row>
    <row r="10" spans="1:16" x14ac:dyDescent="0.25">
      <c r="B10" s="39">
        <f>C9+1</f>
        <v>45383</v>
      </c>
      <c r="C10" s="39">
        <f t="shared" ref="C10:C69" si="1">EOMONTH(B10,0)</f>
        <v>45412</v>
      </c>
      <c r="D10" s="4">
        <f>D9+G9-E9</f>
        <v>10068.606557377048</v>
      </c>
      <c r="E10" s="92"/>
      <c r="F10" s="30">
        <f t="shared" si="0"/>
        <v>30</v>
      </c>
      <c r="G10" s="31">
        <f t="shared" ref="G10:G71" si="2">$G$5*F10*D10</f>
        <v>66.848945176027925</v>
      </c>
      <c r="H10" s="121"/>
      <c r="I10" s="115"/>
    </row>
    <row r="11" spans="1:16" x14ac:dyDescent="0.25">
      <c r="B11" s="39">
        <f t="shared" ref="B11:B62" si="3">C10+1</f>
        <v>45413</v>
      </c>
      <c r="C11" s="39">
        <f t="shared" si="1"/>
        <v>45443</v>
      </c>
      <c r="D11" s="4">
        <f t="shared" ref="D11:D15" si="4">D10+G10-E10</f>
        <v>10135.455502553077</v>
      </c>
      <c r="E11" s="92"/>
      <c r="F11" s="30">
        <f t="shared" si="0"/>
        <v>31</v>
      </c>
      <c r="G11" s="31">
        <f t="shared" si="2"/>
        <v>69.535870947843648</v>
      </c>
      <c r="H11" s="121"/>
      <c r="I11" s="115"/>
    </row>
    <row r="12" spans="1:16" x14ac:dyDescent="0.25">
      <c r="B12" s="39">
        <f t="shared" si="3"/>
        <v>45444</v>
      </c>
      <c r="C12" s="39">
        <f t="shared" si="1"/>
        <v>45473</v>
      </c>
      <c r="D12" s="4">
        <f t="shared" si="4"/>
        <v>10204.991373500921</v>
      </c>
      <c r="E12" s="92"/>
      <c r="F12" s="30">
        <f t="shared" si="0"/>
        <v>30</v>
      </c>
      <c r="G12" s="31">
        <f t="shared" si="2"/>
        <v>67.754450922424141</v>
      </c>
      <c r="H12" s="121"/>
      <c r="I12" s="115"/>
    </row>
    <row r="13" spans="1:16" x14ac:dyDescent="0.25">
      <c r="B13" s="39">
        <f t="shared" si="3"/>
        <v>45474</v>
      </c>
      <c r="C13" s="39">
        <f t="shared" si="1"/>
        <v>45504</v>
      </c>
      <c r="D13" s="4">
        <f t="shared" si="4"/>
        <v>10272.745824423346</v>
      </c>
      <c r="E13" s="92"/>
      <c r="F13" s="30">
        <f t="shared" si="0"/>
        <v>31</v>
      </c>
      <c r="G13" s="31">
        <f t="shared" si="2"/>
        <v>70.477772582314259</v>
      </c>
      <c r="H13" s="121" t="s">
        <v>43</v>
      </c>
      <c r="I13" s="115" t="s">
        <v>43</v>
      </c>
      <c r="J13" s="85"/>
    </row>
    <row r="14" spans="1:16" x14ac:dyDescent="0.25">
      <c r="B14" s="39">
        <f t="shared" si="3"/>
        <v>45505</v>
      </c>
      <c r="C14" s="39">
        <f t="shared" si="1"/>
        <v>45535</v>
      </c>
      <c r="D14" s="4">
        <f t="shared" si="4"/>
        <v>10343.223597005661</v>
      </c>
      <c r="E14" s="92"/>
      <c r="F14" s="30">
        <f t="shared" si="0"/>
        <v>31</v>
      </c>
      <c r="G14" s="31">
        <f t="shared" si="2"/>
        <v>70.961296317161782</v>
      </c>
      <c r="H14" s="121" t="s">
        <v>43</v>
      </c>
      <c r="I14" s="115" t="s">
        <v>43</v>
      </c>
      <c r="J14" s="85"/>
    </row>
    <row r="15" spans="1:16" x14ac:dyDescent="0.25">
      <c r="B15" s="39">
        <f t="shared" si="3"/>
        <v>45536</v>
      </c>
      <c r="C15" s="39">
        <f t="shared" si="1"/>
        <v>45565</v>
      </c>
      <c r="D15" s="4">
        <f t="shared" si="4"/>
        <v>10414.184893322823</v>
      </c>
      <c r="E15" s="92"/>
      <c r="F15" s="30">
        <f t="shared" si="0"/>
        <v>30</v>
      </c>
      <c r="G15" s="31">
        <f t="shared" si="2"/>
        <v>69.143358717962997</v>
      </c>
      <c r="H15" s="121" t="s">
        <v>43</v>
      </c>
      <c r="I15" s="115" t="s">
        <v>43</v>
      </c>
    </row>
    <row r="16" spans="1:16" x14ac:dyDescent="0.25">
      <c r="B16" s="39">
        <f t="shared" si="3"/>
        <v>45566</v>
      </c>
      <c r="C16" s="39">
        <f t="shared" si="1"/>
        <v>45596</v>
      </c>
      <c r="D16" s="4">
        <f>D15+G15-E15</f>
        <v>10483.328252040787</v>
      </c>
      <c r="E16" s="92"/>
      <c r="F16" s="30">
        <f t="shared" si="0"/>
        <v>31</v>
      </c>
      <c r="G16" s="31">
        <f t="shared" si="2"/>
        <v>71.922506122607686</v>
      </c>
      <c r="H16" s="121" t="s">
        <v>43</v>
      </c>
      <c r="I16" s="115" t="s">
        <v>43</v>
      </c>
    </row>
    <row r="17" spans="2:9" x14ac:dyDescent="0.25">
      <c r="B17" s="39">
        <f t="shared" si="3"/>
        <v>45597</v>
      </c>
      <c r="C17" s="39">
        <f t="shared" si="1"/>
        <v>45626</v>
      </c>
      <c r="D17" s="4">
        <f t="shared" ref="D17:D71" si="5">D16+G16-E16</f>
        <v>10555.250758163394</v>
      </c>
      <c r="E17" s="92"/>
      <c r="F17" s="30">
        <f t="shared" si="0"/>
        <v>30</v>
      </c>
      <c r="G17" s="31">
        <f t="shared" si="2"/>
        <v>70.079943558297941</v>
      </c>
      <c r="H17" s="121">
        <f>$C$5</f>
        <v>10000</v>
      </c>
      <c r="I17" s="115">
        <v>0.25</v>
      </c>
    </row>
    <row r="18" spans="2:9" x14ac:dyDescent="0.25">
      <c r="B18" s="39">
        <f t="shared" si="3"/>
        <v>45627</v>
      </c>
      <c r="C18" s="39">
        <f>B18+14</f>
        <v>45641</v>
      </c>
      <c r="D18" s="4">
        <f t="shared" si="5"/>
        <v>10625.330701721692</v>
      </c>
      <c r="E18" s="92">
        <f>SUM($G$9:G18)+(H18)</f>
        <v>3160.6033159364215</v>
      </c>
      <c r="F18" s="30">
        <f t="shared" si="0"/>
        <v>15</v>
      </c>
      <c r="G18" s="31">
        <f t="shared" si="2"/>
        <v>35.272614214731838</v>
      </c>
      <c r="H18" s="121">
        <f>H17*I17</f>
        <v>2500</v>
      </c>
      <c r="I18" s="115"/>
    </row>
    <row r="19" spans="2:9" x14ac:dyDescent="0.25">
      <c r="B19" s="39">
        <f t="shared" si="3"/>
        <v>45642</v>
      </c>
      <c r="C19" s="39">
        <f t="shared" si="1"/>
        <v>45657</v>
      </c>
      <c r="D19" s="4">
        <f t="shared" si="5"/>
        <v>7500.0000000000018</v>
      </c>
      <c r="E19" s="92"/>
      <c r="F19" s="30">
        <f t="shared" si="0"/>
        <v>16</v>
      </c>
      <c r="G19" s="31">
        <f t="shared" si="2"/>
        <v>26.557377049180332</v>
      </c>
      <c r="H19" s="121"/>
      <c r="I19" s="115"/>
    </row>
    <row r="20" spans="2:9" x14ac:dyDescent="0.25">
      <c r="B20" s="39">
        <f t="shared" si="3"/>
        <v>45658</v>
      </c>
      <c r="C20" s="39">
        <f t="shared" si="1"/>
        <v>45688</v>
      </c>
      <c r="D20" s="4">
        <f t="shared" si="5"/>
        <v>7526.5573770491819</v>
      </c>
      <c r="E20" s="92"/>
      <c r="F20" s="30">
        <f t="shared" si="0"/>
        <v>31</v>
      </c>
      <c r="G20" s="31">
        <f t="shared" si="2"/>
        <v>51.637119054017745</v>
      </c>
      <c r="H20" s="121" t="s">
        <v>43</v>
      </c>
      <c r="I20" s="115" t="s">
        <v>43</v>
      </c>
    </row>
    <row r="21" spans="2:9" x14ac:dyDescent="0.25">
      <c r="B21" s="39">
        <f t="shared" si="3"/>
        <v>45689</v>
      </c>
      <c r="C21" s="39">
        <f t="shared" si="1"/>
        <v>45716</v>
      </c>
      <c r="D21" s="4">
        <f t="shared" si="5"/>
        <v>7578.1944961031995</v>
      </c>
      <c r="E21" s="92"/>
      <c r="F21" s="30">
        <f t="shared" si="0"/>
        <v>28</v>
      </c>
      <c r="G21" s="31">
        <f t="shared" si="2"/>
        <v>46.959959336508341</v>
      </c>
      <c r="H21" s="121" t="s">
        <v>43</v>
      </c>
      <c r="I21" s="115" t="s">
        <v>43</v>
      </c>
    </row>
    <row r="22" spans="2:9" x14ac:dyDescent="0.25">
      <c r="B22" s="39">
        <f t="shared" si="3"/>
        <v>45717</v>
      </c>
      <c r="C22" s="39">
        <f t="shared" si="1"/>
        <v>45747</v>
      </c>
      <c r="D22" s="4">
        <f t="shared" si="5"/>
        <v>7625.1544554397078</v>
      </c>
      <c r="E22" s="92"/>
      <c r="F22" s="30">
        <f t="shared" si="0"/>
        <v>31</v>
      </c>
      <c r="G22" s="31">
        <f t="shared" si="2"/>
        <v>52.313559665598646</v>
      </c>
      <c r="H22" s="121" t="s">
        <v>43</v>
      </c>
      <c r="I22" s="115" t="s">
        <v>43</v>
      </c>
    </row>
    <row r="23" spans="2:9" x14ac:dyDescent="0.25">
      <c r="B23" s="39">
        <f t="shared" si="3"/>
        <v>45748</v>
      </c>
      <c r="C23" s="39">
        <f t="shared" si="1"/>
        <v>45777</v>
      </c>
      <c r="D23" s="4">
        <f t="shared" si="5"/>
        <v>7677.4680151053062</v>
      </c>
      <c r="E23" s="92"/>
      <c r="F23" s="30">
        <f t="shared" si="0"/>
        <v>30</v>
      </c>
      <c r="G23" s="31">
        <f t="shared" si="2"/>
        <v>50.973353215043417</v>
      </c>
      <c r="H23" s="121" t="s">
        <v>43</v>
      </c>
      <c r="I23" s="115" t="s">
        <v>43</v>
      </c>
    </row>
    <row r="24" spans="2:9" x14ac:dyDescent="0.25">
      <c r="B24" s="39">
        <f t="shared" si="3"/>
        <v>45778</v>
      </c>
      <c r="C24" s="39">
        <f t="shared" si="1"/>
        <v>45808</v>
      </c>
      <c r="D24" s="4">
        <f t="shared" si="5"/>
        <v>7728.4413683203493</v>
      </c>
      <c r="E24" s="92"/>
      <c r="F24" s="30">
        <f t="shared" si="0"/>
        <v>31</v>
      </c>
      <c r="G24" s="31">
        <f t="shared" si="2"/>
        <v>53.02217561708305</v>
      </c>
      <c r="H24" s="121" t="s">
        <v>43</v>
      </c>
      <c r="I24" s="115" t="s">
        <v>43</v>
      </c>
    </row>
    <row r="25" spans="2:9" x14ac:dyDescent="0.25">
      <c r="B25" s="39">
        <f t="shared" si="3"/>
        <v>45809</v>
      </c>
      <c r="C25" s="39">
        <f t="shared" si="1"/>
        <v>45838</v>
      </c>
      <c r="D25" s="4">
        <f t="shared" si="5"/>
        <v>7781.4635439374324</v>
      </c>
      <c r="E25" s="92"/>
      <c r="F25" s="30">
        <f t="shared" si="0"/>
        <v>30</v>
      </c>
      <c r="G25" s="31">
        <f t="shared" si="2"/>
        <v>51.663815332699336</v>
      </c>
      <c r="H25" s="121" t="s">
        <v>43</v>
      </c>
      <c r="I25" s="115" t="s">
        <v>43</v>
      </c>
    </row>
    <row r="26" spans="2:9" x14ac:dyDescent="0.25">
      <c r="B26" s="39">
        <f t="shared" si="3"/>
        <v>45839</v>
      </c>
      <c r="C26" s="39">
        <f t="shared" si="1"/>
        <v>45869</v>
      </c>
      <c r="D26" s="4">
        <f t="shared" si="5"/>
        <v>7833.1273592701318</v>
      </c>
      <c r="E26" s="92"/>
      <c r="F26" s="30">
        <f t="shared" si="0"/>
        <v>31</v>
      </c>
      <c r="G26" s="31">
        <f t="shared" si="2"/>
        <v>53.740390161549996</v>
      </c>
      <c r="H26" s="121" t="s">
        <v>43</v>
      </c>
      <c r="I26" s="115" t="s">
        <v>43</v>
      </c>
    </row>
    <row r="27" spans="2:9" x14ac:dyDescent="0.25">
      <c r="B27" s="39">
        <f t="shared" si="3"/>
        <v>45870</v>
      </c>
      <c r="C27" s="39">
        <f t="shared" si="1"/>
        <v>45900</v>
      </c>
      <c r="D27" s="4">
        <f t="shared" si="5"/>
        <v>7886.8677494316817</v>
      </c>
      <c r="E27" s="92"/>
      <c r="F27" s="30">
        <f t="shared" si="0"/>
        <v>31</v>
      </c>
      <c r="G27" s="31">
        <f t="shared" si="2"/>
        <v>54.109084477658335</v>
      </c>
      <c r="H27" s="121"/>
      <c r="I27" s="115"/>
    </row>
    <row r="28" spans="2:9" x14ac:dyDescent="0.25">
      <c r="B28" s="39">
        <f t="shared" si="3"/>
        <v>45901</v>
      </c>
      <c r="C28" s="39">
        <f t="shared" si="1"/>
        <v>45930</v>
      </c>
      <c r="D28" s="4">
        <f t="shared" si="5"/>
        <v>7940.9768339093398</v>
      </c>
      <c r="E28" s="92"/>
      <c r="F28" s="30">
        <f t="shared" si="0"/>
        <v>30</v>
      </c>
      <c r="G28" s="31">
        <f t="shared" si="2"/>
        <v>52.722878979234132</v>
      </c>
      <c r="H28" s="121"/>
      <c r="I28" s="115"/>
    </row>
    <row r="29" spans="2:9" x14ac:dyDescent="0.25">
      <c r="B29" s="39">
        <f t="shared" si="3"/>
        <v>45931</v>
      </c>
      <c r="C29" s="39">
        <f t="shared" si="1"/>
        <v>45961</v>
      </c>
      <c r="D29" s="4">
        <f t="shared" si="5"/>
        <v>7993.6997128885741</v>
      </c>
      <c r="E29" s="92"/>
      <c r="F29" s="30">
        <f t="shared" si="0"/>
        <v>31</v>
      </c>
      <c r="G29" s="31">
        <f t="shared" si="2"/>
        <v>54.842021800719145</v>
      </c>
      <c r="H29" s="121"/>
      <c r="I29" s="115"/>
    </row>
    <row r="30" spans="2:9" x14ac:dyDescent="0.25">
      <c r="B30" s="39">
        <f t="shared" si="3"/>
        <v>45962</v>
      </c>
      <c r="C30" s="39">
        <f t="shared" si="1"/>
        <v>45991</v>
      </c>
      <c r="D30" s="4">
        <f t="shared" si="5"/>
        <v>8048.5417346892937</v>
      </c>
      <c r="E30" s="92"/>
      <c r="F30" s="30">
        <f t="shared" si="0"/>
        <v>30</v>
      </c>
      <c r="G30" s="31">
        <f t="shared" si="2"/>
        <v>53.437039386051858</v>
      </c>
      <c r="H30" s="121">
        <f>H17-H18</f>
        <v>7500</v>
      </c>
      <c r="I30" s="115">
        <v>0.25</v>
      </c>
    </row>
    <row r="31" spans="2:9" x14ac:dyDescent="0.25">
      <c r="B31" s="39">
        <f t="shared" si="3"/>
        <v>45992</v>
      </c>
      <c r="C31" s="39">
        <f>B31+14</f>
        <v>46006</v>
      </c>
      <c r="D31" s="4">
        <f t="shared" si="5"/>
        <v>8101.9787740753454</v>
      </c>
      <c r="E31" s="92">
        <f>SUM(G19:G31)+(H31)</f>
        <v>2503.8746872187912</v>
      </c>
      <c r="F31" s="30">
        <f t="shared" si="0"/>
        <v>15</v>
      </c>
      <c r="G31" s="31">
        <f t="shared" si="2"/>
        <v>26.895913143446837</v>
      </c>
      <c r="H31" s="121">
        <f>H30*I30</f>
        <v>1875</v>
      </c>
      <c r="I31" s="115"/>
    </row>
    <row r="32" spans="2:9" x14ac:dyDescent="0.25">
      <c r="B32" s="39">
        <f t="shared" si="3"/>
        <v>46007</v>
      </c>
      <c r="C32" s="39">
        <f t="shared" si="1"/>
        <v>46022</v>
      </c>
      <c r="D32" s="4">
        <f t="shared" si="5"/>
        <v>5625.0000000000009</v>
      </c>
      <c r="E32" s="92"/>
      <c r="F32" s="30">
        <f t="shared" si="0"/>
        <v>16</v>
      </c>
      <c r="G32" s="31">
        <f t="shared" si="2"/>
        <v>19.918032786885245</v>
      </c>
      <c r="H32" s="121"/>
      <c r="I32" s="115"/>
    </row>
    <row r="33" spans="2:9" x14ac:dyDescent="0.25">
      <c r="B33" s="39">
        <f t="shared" si="3"/>
        <v>46023</v>
      </c>
      <c r="C33" s="39">
        <f t="shared" si="1"/>
        <v>46053</v>
      </c>
      <c r="D33" s="4">
        <f t="shared" si="5"/>
        <v>5644.9180327868862</v>
      </c>
      <c r="E33" s="92"/>
      <c r="F33" s="30">
        <f t="shared" si="0"/>
        <v>31</v>
      </c>
      <c r="G33" s="31">
        <f t="shared" si="2"/>
        <v>38.727839290513309</v>
      </c>
      <c r="H33" s="121" t="s">
        <v>43</v>
      </c>
      <c r="I33" s="115" t="s">
        <v>43</v>
      </c>
    </row>
    <row r="34" spans="2:9" x14ac:dyDescent="0.25">
      <c r="B34" s="39">
        <f t="shared" si="3"/>
        <v>46054</v>
      </c>
      <c r="C34" s="39">
        <f t="shared" si="1"/>
        <v>46081</v>
      </c>
      <c r="D34" s="4">
        <f t="shared" si="5"/>
        <v>5683.6458720773999</v>
      </c>
      <c r="E34" s="92"/>
      <c r="F34" s="30">
        <f t="shared" si="0"/>
        <v>28</v>
      </c>
      <c r="G34" s="31">
        <f t="shared" si="2"/>
        <v>35.219969502381254</v>
      </c>
      <c r="H34" s="121" t="s">
        <v>43</v>
      </c>
      <c r="I34" s="115" t="s">
        <v>43</v>
      </c>
    </row>
    <row r="35" spans="2:9" x14ac:dyDescent="0.25">
      <c r="B35" s="39">
        <f t="shared" si="3"/>
        <v>46082</v>
      </c>
      <c r="C35" s="39">
        <f t="shared" si="1"/>
        <v>46112</v>
      </c>
      <c r="D35" s="4">
        <f t="shared" si="5"/>
        <v>5718.8658415797809</v>
      </c>
      <c r="E35" s="92"/>
      <c r="F35" s="30">
        <f t="shared" si="0"/>
        <v>31</v>
      </c>
      <c r="G35" s="31">
        <f t="shared" si="2"/>
        <v>39.235169749198981</v>
      </c>
      <c r="H35" s="121" t="s">
        <v>43</v>
      </c>
      <c r="I35" s="115" t="s">
        <v>43</v>
      </c>
    </row>
    <row r="36" spans="2:9" x14ac:dyDescent="0.25">
      <c r="B36" s="39">
        <f t="shared" si="3"/>
        <v>46113</v>
      </c>
      <c r="C36" s="39">
        <f t="shared" si="1"/>
        <v>46142</v>
      </c>
      <c r="D36" s="4">
        <f t="shared" si="5"/>
        <v>5758.1010113289794</v>
      </c>
      <c r="E36" s="92"/>
      <c r="F36" s="30">
        <f t="shared" si="0"/>
        <v>30</v>
      </c>
      <c r="G36" s="31">
        <f t="shared" si="2"/>
        <v>38.230014911282559</v>
      </c>
      <c r="H36" s="121" t="s">
        <v>43</v>
      </c>
      <c r="I36" s="115" t="s">
        <v>43</v>
      </c>
    </row>
    <row r="37" spans="2:9" x14ac:dyDescent="0.25">
      <c r="B37" s="39">
        <f t="shared" si="3"/>
        <v>46143</v>
      </c>
      <c r="C37" s="39">
        <f t="shared" si="1"/>
        <v>46173</v>
      </c>
      <c r="D37" s="4">
        <f t="shared" si="5"/>
        <v>5796.331026240262</v>
      </c>
      <c r="E37" s="92"/>
      <c r="F37" s="30">
        <f t="shared" si="0"/>
        <v>31</v>
      </c>
      <c r="G37" s="31">
        <f t="shared" si="2"/>
        <v>39.766631712812284</v>
      </c>
      <c r="H37" s="121" t="s">
        <v>43</v>
      </c>
      <c r="I37" s="115" t="s">
        <v>43</v>
      </c>
    </row>
    <row r="38" spans="2:9" x14ac:dyDescent="0.25">
      <c r="B38" s="39">
        <f t="shared" si="3"/>
        <v>46174</v>
      </c>
      <c r="C38" s="39">
        <f t="shared" si="1"/>
        <v>46203</v>
      </c>
      <c r="D38" s="4">
        <f t="shared" si="5"/>
        <v>5836.0976579530743</v>
      </c>
      <c r="E38" s="92"/>
      <c r="F38" s="30">
        <f t="shared" si="0"/>
        <v>30</v>
      </c>
      <c r="G38" s="31">
        <f t="shared" si="2"/>
        <v>38.747861499524504</v>
      </c>
      <c r="H38" s="121" t="s">
        <v>43</v>
      </c>
      <c r="I38" s="115" t="s">
        <v>43</v>
      </c>
    </row>
    <row r="39" spans="2:9" x14ac:dyDescent="0.25">
      <c r="B39" s="39">
        <f t="shared" si="3"/>
        <v>46204</v>
      </c>
      <c r="C39" s="39">
        <f t="shared" si="1"/>
        <v>46234</v>
      </c>
      <c r="D39" s="4">
        <f t="shared" si="5"/>
        <v>5874.8455194525986</v>
      </c>
      <c r="E39" s="92"/>
      <c r="F39" s="30">
        <f t="shared" si="0"/>
        <v>31</v>
      </c>
      <c r="G39" s="31">
        <f t="shared" si="2"/>
        <v>40.305292621162494</v>
      </c>
      <c r="H39" s="121" t="s">
        <v>43</v>
      </c>
      <c r="I39" s="115" t="s">
        <v>43</v>
      </c>
    </row>
    <row r="40" spans="2:9" x14ac:dyDescent="0.25">
      <c r="B40" s="39">
        <f t="shared" si="3"/>
        <v>46235</v>
      </c>
      <c r="C40" s="39">
        <f t="shared" si="1"/>
        <v>46265</v>
      </c>
      <c r="D40" s="4">
        <f t="shared" si="5"/>
        <v>5915.1508120737608</v>
      </c>
      <c r="E40" s="92"/>
      <c r="F40" s="30">
        <f t="shared" si="0"/>
        <v>31</v>
      </c>
      <c r="G40" s="31">
        <f t="shared" si="2"/>
        <v>40.58181335824375</v>
      </c>
      <c r="H40" s="121"/>
      <c r="I40" s="115"/>
    </row>
    <row r="41" spans="2:9" x14ac:dyDescent="0.25">
      <c r="B41" s="39">
        <f t="shared" si="3"/>
        <v>46266</v>
      </c>
      <c r="C41" s="39">
        <f t="shared" si="1"/>
        <v>46295</v>
      </c>
      <c r="D41" s="4">
        <f t="shared" si="5"/>
        <v>5955.7326254320042</v>
      </c>
      <c r="E41" s="92"/>
      <c r="F41" s="30">
        <f t="shared" si="0"/>
        <v>30</v>
      </c>
      <c r="G41" s="31">
        <f t="shared" si="2"/>
        <v>39.542159234425597</v>
      </c>
      <c r="H41" s="121"/>
      <c r="I41" s="115"/>
    </row>
    <row r="42" spans="2:9" x14ac:dyDescent="0.25">
      <c r="B42" s="39">
        <f t="shared" si="3"/>
        <v>46296</v>
      </c>
      <c r="C42" s="39">
        <f t="shared" si="1"/>
        <v>46326</v>
      </c>
      <c r="D42" s="4">
        <f t="shared" si="5"/>
        <v>5995.2747846664297</v>
      </c>
      <c r="E42" s="92"/>
      <c r="F42" s="30">
        <f t="shared" si="0"/>
        <v>31</v>
      </c>
      <c r="G42" s="31">
        <f t="shared" si="2"/>
        <v>41.131516350539357</v>
      </c>
      <c r="H42" s="121"/>
      <c r="I42" s="115"/>
    </row>
    <row r="43" spans="2:9" x14ac:dyDescent="0.25">
      <c r="B43" s="39">
        <f t="shared" si="3"/>
        <v>46327</v>
      </c>
      <c r="C43" s="39">
        <f t="shared" si="1"/>
        <v>46356</v>
      </c>
      <c r="D43" s="4">
        <f t="shared" si="5"/>
        <v>6036.4063010169693</v>
      </c>
      <c r="E43" s="92"/>
      <c r="F43" s="30">
        <f t="shared" si="0"/>
        <v>30</v>
      </c>
      <c r="G43" s="31">
        <f t="shared" si="2"/>
        <v>40.077779539538888</v>
      </c>
      <c r="H43" s="121">
        <f>H30-H31</f>
        <v>5625</v>
      </c>
      <c r="I43" s="115">
        <v>0.33329999999999999</v>
      </c>
    </row>
    <row r="44" spans="2:9" x14ac:dyDescent="0.25">
      <c r="B44" s="39">
        <f t="shared" si="3"/>
        <v>46357</v>
      </c>
      <c r="C44" s="39">
        <f>B44+14</f>
        <v>46371</v>
      </c>
      <c r="D44" s="4">
        <f t="shared" si="5"/>
        <v>6076.4840805565082</v>
      </c>
      <c r="E44" s="92">
        <f>SUM(G32:G44)+(H44)</f>
        <v>2346.4685154140934</v>
      </c>
      <c r="F44" s="30">
        <f t="shared" si="0"/>
        <v>15</v>
      </c>
      <c r="G44" s="31">
        <f t="shared" si="2"/>
        <v>20.171934857585125</v>
      </c>
      <c r="H44" s="121">
        <f>H43*I43</f>
        <v>1874.8125</v>
      </c>
      <c r="I44" s="115"/>
    </row>
    <row r="45" spans="2:9" x14ac:dyDescent="0.25">
      <c r="B45" s="39">
        <f t="shared" si="3"/>
        <v>46372</v>
      </c>
      <c r="C45" s="39">
        <f t="shared" si="1"/>
        <v>46387</v>
      </c>
      <c r="D45" s="4">
        <f t="shared" si="5"/>
        <v>3750.1875</v>
      </c>
      <c r="E45" s="92"/>
      <c r="F45" s="30">
        <f t="shared" si="0"/>
        <v>16</v>
      </c>
      <c r="G45" s="31">
        <f t="shared" si="2"/>
        <v>13.279352459016392</v>
      </c>
      <c r="H45" s="121"/>
      <c r="I45" s="115"/>
    </row>
    <row r="46" spans="2:9" x14ac:dyDescent="0.25">
      <c r="B46" s="39">
        <f t="shared" si="3"/>
        <v>46388</v>
      </c>
      <c r="C46" s="39">
        <f t="shared" si="1"/>
        <v>46418</v>
      </c>
      <c r="D46" s="4">
        <f t="shared" si="5"/>
        <v>3763.4668524590165</v>
      </c>
      <c r="E46" s="92"/>
      <c r="F46" s="30">
        <f t="shared" si="0"/>
        <v>31</v>
      </c>
      <c r="G46" s="31">
        <f t="shared" si="2"/>
        <v>25.819850454985218</v>
      </c>
      <c r="H46" s="121" t="s">
        <v>43</v>
      </c>
      <c r="I46" s="115" t="s">
        <v>43</v>
      </c>
    </row>
    <row r="47" spans="2:9" x14ac:dyDescent="0.25">
      <c r="B47" s="39">
        <f t="shared" si="3"/>
        <v>46419</v>
      </c>
      <c r="C47" s="39">
        <f t="shared" si="1"/>
        <v>46446</v>
      </c>
      <c r="D47" s="4">
        <f t="shared" si="5"/>
        <v>3789.2867029140016</v>
      </c>
      <c r="E47" s="92"/>
      <c r="F47" s="30">
        <f t="shared" si="0"/>
        <v>28</v>
      </c>
      <c r="G47" s="31">
        <f t="shared" si="2"/>
        <v>23.481153667237578</v>
      </c>
      <c r="H47" s="121"/>
      <c r="I47" s="115"/>
    </row>
    <row r="48" spans="2:9" x14ac:dyDescent="0.25">
      <c r="B48" s="39">
        <f t="shared" si="3"/>
        <v>46447</v>
      </c>
      <c r="C48" s="39">
        <f t="shared" si="1"/>
        <v>46477</v>
      </c>
      <c r="D48" s="4">
        <f t="shared" si="5"/>
        <v>3812.7678565812394</v>
      </c>
      <c r="E48" s="92"/>
      <c r="F48" s="30">
        <f t="shared" si="0"/>
        <v>31</v>
      </c>
      <c r="G48" s="31">
        <f t="shared" si="2"/>
        <v>26.158087671790959</v>
      </c>
      <c r="H48" s="121"/>
      <c r="I48" s="115"/>
    </row>
    <row r="49" spans="2:9" x14ac:dyDescent="0.25">
      <c r="B49" s="39">
        <f t="shared" si="3"/>
        <v>46478</v>
      </c>
      <c r="C49" s="39">
        <f t="shared" si="1"/>
        <v>46507</v>
      </c>
      <c r="D49" s="4">
        <f t="shared" si="5"/>
        <v>3838.9259442530301</v>
      </c>
      <c r="E49" s="92"/>
      <c r="F49" s="30">
        <f t="shared" si="0"/>
        <v>30</v>
      </c>
      <c r="G49" s="31">
        <f t="shared" si="2"/>
        <v>25.487950941352082</v>
      </c>
      <c r="H49" s="121"/>
      <c r="I49" s="115"/>
    </row>
    <row r="50" spans="2:9" x14ac:dyDescent="0.25">
      <c r="B50" s="39">
        <f t="shared" si="3"/>
        <v>46508</v>
      </c>
      <c r="C50" s="39">
        <f t="shared" si="1"/>
        <v>46538</v>
      </c>
      <c r="D50" s="4">
        <f t="shared" si="5"/>
        <v>3864.4138951943823</v>
      </c>
      <c r="E50" s="92"/>
      <c r="F50" s="30">
        <f t="shared" si="0"/>
        <v>31</v>
      </c>
      <c r="G50" s="31">
        <f t="shared" si="2"/>
        <v>26.512413362931948</v>
      </c>
      <c r="H50" s="121"/>
      <c r="I50" s="115"/>
    </row>
    <row r="51" spans="2:9" x14ac:dyDescent="0.25">
      <c r="B51" s="39">
        <f t="shared" si="3"/>
        <v>46539</v>
      </c>
      <c r="C51" s="39">
        <f t="shared" si="1"/>
        <v>46568</v>
      </c>
      <c r="D51" s="4">
        <f t="shared" si="5"/>
        <v>3890.9263085573143</v>
      </c>
      <c r="E51" s="92"/>
      <c r="F51" s="30">
        <f t="shared" si="0"/>
        <v>30</v>
      </c>
      <c r="G51" s="31">
        <f t="shared" si="2"/>
        <v>25.833199261732982</v>
      </c>
      <c r="H51" s="121"/>
      <c r="I51" s="115"/>
    </row>
    <row r="52" spans="2:9" x14ac:dyDescent="0.25">
      <c r="B52" s="39">
        <f t="shared" si="3"/>
        <v>46569</v>
      </c>
      <c r="C52" s="39">
        <f t="shared" si="1"/>
        <v>46599</v>
      </c>
      <c r="D52" s="4">
        <f t="shared" si="5"/>
        <v>3916.7595078190475</v>
      </c>
      <c r="E52" s="92"/>
      <c r="F52" s="30">
        <f t="shared" si="0"/>
        <v>31</v>
      </c>
      <c r="G52" s="31">
        <f t="shared" si="2"/>
        <v>26.871538590529035</v>
      </c>
      <c r="H52" s="121"/>
      <c r="I52" s="115"/>
    </row>
    <row r="53" spans="2:9" x14ac:dyDescent="0.25">
      <c r="B53" s="39">
        <f t="shared" si="3"/>
        <v>46600</v>
      </c>
      <c r="C53" s="39">
        <f t="shared" si="1"/>
        <v>46630</v>
      </c>
      <c r="D53" s="4">
        <f t="shared" si="5"/>
        <v>3943.6310464095764</v>
      </c>
      <c r="E53" s="92"/>
      <c r="F53" s="30">
        <f t="shared" si="0"/>
        <v>31</v>
      </c>
      <c r="G53" s="31">
        <f t="shared" si="2"/>
        <v>27.055894965941107</v>
      </c>
      <c r="H53" s="121"/>
      <c r="I53" s="115"/>
    </row>
    <row r="54" spans="2:9" x14ac:dyDescent="0.25">
      <c r="B54" s="39">
        <f t="shared" si="3"/>
        <v>46631</v>
      </c>
      <c r="C54" s="39">
        <f t="shared" si="1"/>
        <v>46660</v>
      </c>
      <c r="D54" s="4">
        <f t="shared" si="5"/>
        <v>3970.6869413755176</v>
      </c>
      <c r="E54" s="92"/>
      <c r="F54" s="30">
        <f t="shared" si="0"/>
        <v>30</v>
      </c>
      <c r="G54" s="31">
        <f t="shared" si="2"/>
        <v>26.362757561591547</v>
      </c>
      <c r="H54" s="121"/>
      <c r="I54" s="115"/>
    </row>
    <row r="55" spans="2:9" x14ac:dyDescent="0.25">
      <c r="B55" s="39">
        <f t="shared" si="3"/>
        <v>46661</v>
      </c>
      <c r="C55" s="39">
        <f t="shared" si="1"/>
        <v>46691</v>
      </c>
      <c r="D55" s="4">
        <f t="shared" si="5"/>
        <v>3997.049698937109</v>
      </c>
      <c r="E55" s="92"/>
      <c r="F55" s="30">
        <f t="shared" si="0"/>
        <v>31</v>
      </c>
      <c r="G55" s="31">
        <f t="shared" si="2"/>
        <v>27.42238195090459</v>
      </c>
      <c r="H55" s="121"/>
      <c r="I55" s="115"/>
    </row>
    <row r="56" spans="2:9" x14ac:dyDescent="0.25">
      <c r="B56" s="39">
        <f t="shared" si="3"/>
        <v>46692</v>
      </c>
      <c r="C56" s="39">
        <f t="shared" si="1"/>
        <v>46721</v>
      </c>
      <c r="D56" s="4">
        <f t="shared" si="5"/>
        <v>4024.4720808880138</v>
      </c>
      <c r="E56" s="92"/>
      <c r="F56" s="30">
        <f t="shared" si="0"/>
        <v>30</v>
      </c>
      <c r="G56" s="31">
        <f t="shared" si="2"/>
        <v>26.719855619010577</v>
      </c>
      <c r="H56" s="121">
        <f>H43-H44</f>
        <v>3750.1875</v>
      </c>
      <c r="I56" s="115">
        <v>0.5</v>
      </c>
    </row>
    <row r="57" spans="2:9" x14ac:dyDescent="0.25">
      <c r="B57" s="39">
        <f t="shared" si="3"/>
        <v>46722</v>
      </c>
      <c r="C57" s="39">
        <f>B57+14</f>
        <v>46736</v>
      </c>
      <c r="D57" s="4">
        <f t="shared" si="5"/>
        <v>4051.1919365070244</v>
      </c>
      <c r="E57" s="92">
        <f>SUM(G45:G57)+H57</f>
        <v>2189.5468154765758</v>
      </c>
      <c r="F57" s="30">
        <f t="shared" si="0"/>
        <v>15</v>
      </c>
      <c r="G57" s="31">
        <f t="shared" si="2"/>
        <v>13.448628969552004</v>
      </c>
      <c r="H57" s="121">
        <f>H56*I56</f>
        <v>1875.09375</v>
      </c>
      <c r="I57" s="115"/>
    </row>
    <row r="58" spans="2:9" x14ac:dyDescent="0.25">
      <c r="B58" s="39">
        <f t="shared" si="3"/>
        <v>46737</v>
      </c>
      <c r="C58" s="39">
        <f t="shared" si="1"/>
        <v>46752</v>
      </c>
      <c r="D58" s="4">
        <f t="shared" si="5"/>
        <v>1875.0937500000005</v>
      </c>
      <c r="E58" s="92"/>
      <c r="F58" s="30">
        <f t="shared" si="0"/>
        <v>16</v>
      </c>
      <c r="G58" s="31">
        <f t="shared" si="2"/>
        <v>6.639676229508197</v>
      </c>
      <c r="H58" s="121"/>
      <c r="I58" s="115"/>
    </row>
    <row r="59" spans="2:9" x14ac:dyDescent="0.25">
      <c r="B59" s="39">
        <f t="shared" si="3"/>
        <v>46753</v>
      </c>
      <c r="C59" s="39">
        <f t="shared" si="1"/>
        <v>46783</v>
      </c>
      <c r="D59" s="4">
        <f t="shared" si="5"/>
        <v>1881.7334262295087</v>
      </c>
      <c r="E59" s="92"/>
      <c r="F59" s="30">
        <f t="shared" si="0"/>
        <v>31</v>
      </c>
      <c r="G59" s="31">
        <f t="shared" si="2"/>
        <v>12.909925227492613</v>
      </c>
      <c r="H59" s="121"/>
      <c r="I59" s="115"/>
    </row>
    <row r="60" spans="2:9" x14ac:dyDescent="0.25">
      <c r="B60" s="39">
        <f t="shared" si="3"/>
        <v>46784</v>
      </c>
      <c r="C60" s="39">
        <f t="shared" si="1"/>
        <v>46812</v>
      </c>
      <c r="D60" s="4">
        <f t="shared" si="5"/>
        <v>1894.6433514570012</v>
      </c>
      <c r="E60" s="92"/>
      <c r="F60" s="30">
        <f t="shared" si="0"/>
        <v>29</v>
      </c>
      <c r="G60" s="31">
        <f t="shared" si="2"/>
        <v>12.159883149105179</v>
      </c>
      <c r="H60" s="121"/>
      <c r="I60" s="115"/>
    </row>
    <row r="61" spans="2:9" x14ac:dyDescent="0.25">
      <c r="B61" s="39">
        <f t="shared" si="3"/>
        <v>46813</v>
      </c>
      <c r="C61" s="39">
        <f t="shared" si="1"/>
        <v>46843</v>
      </c>
      <c r="D61" s="4">
        <f t="shared" si="5"/>
        <v>1906.8032346061063</v>
      </c>
      <c r="E61" s="92"/>
      <c r="F61" s="30">
        <f t="shared" si="0"/>
        <v>31</v>
      </c>
      <c r="G61" s="31">
        <f t="shared" si="2"/>
        <v>13.08192055217468</v>
      </c>
      <c r="H61" s="121"/>
      <c r="I61" s="115"/>
    </row>
    <row r="62" spans="2:9" x14ac:dyDescent="0.25">
      <c r="B62" s="39">
        <f t="shared" si="3"/>
        <v>46844</v>
      </c>
      <c r="C62" s="39">
        <f t="shared" si="1"/>
        <v>46873</v>
      </c>
      <c r="D62" s="4">
        <f t="shared" si="5"/>
        <v>1919.8851551582811</v>
      </c>
      <c r="E62" s="92"/>
      <c r="F62" s="30">
        <f t="shared" si="0"/>
        <v>30</v>
      </c>
      <c r="G62" s="31">
        <f t="shared" si="2"/>
        <v>12.746778489165635</v>
      </c>
      <c r="H62" s="121"/>
      <c r="I62" s="115"/>
    </row>
    <row r="63" spans="2:9" x14ac:dyDescent="0.25">
      <c r="B63" s="39">
        <f t="shared" ref="B63" si="6">C62+1</f>
        <v>46874</v>
      </c>
      <c r="C63" s="39">
        <f t="shared" si="1"/>
        <v>46904</v>
      </c>
      <c r="D63" s="4">
        <f t="shared" si="5"/>
        <v>1932.6319336474467</v>
      </c>
      <c r="E63" s="92"/>
      <c r="F63" s="30">
        <f t="shared" si="0"/>
        <v>31</v>
      </c>
      <c r="G63" s="31">
        <f t="shared" si="2"/>
        <v>13.259122364450104</v>
      </c>
      <c r="H63" s="121"/>
      <c r="I63" s="115"/>
    </row>
    <row r="64" spans="2:9" x14ac:dyDescent="0.25">
      <c r="B64" s="39">
        <f t="shared" ref="B64" si="7">C63+1</f>
        <v>46905</v>
      </c>
      <c r="C64" s="39">
        <f t="shared" si="1"/>
        <v>46934</v>
      </c>
      <c r="D64" s="4">
        <f t="shared" si="5"/>
        <v>1945.8910560118968</v>
      </c>
      <c r="E64" s="92"/>
      <c r="F64" s="30">
        <f t="shared" si="0"/>
        <v>30</v>
      </c>
      <c r="G64" s="31">
        <f t="shared" si="2"/>
        <v>12.919440617783902</v>
      </c>
      <c r="H64" s="121"/>
      <c r="I64" s="115"/>
    </row>
    <row r="65" spans="2:9" x14ac:dyDescent="0.25">
      <c r="B65" s="39">
        <f t="shared" ref="B65:B71" si="8">C64+1</f>
        <v>46935</v>
      </c>
      <c r="C65" s="39">
        <f t="shared" si="1"/>
        <v>46965</v>
      </c>
      <c r="D65" s="4">
        <f t="shared" si="5"/>
        <v>1958.8104966296808</v>
      </c>
      <c r="E65" s="92"/>
      <c r="F65" s="30">
        <f t="shared" si="0"/>
        <v>31</v>
      </c>
      <c r="G65" s="31">
        <f t="shared" si="2"/>
        <v>13.438724472779038</v>
      </c>
      <c r="H65" s="121"/>
      <c r="I65" s="115"/>
    </row>
    <row r="66" spans="2:9" x14ac:dyDescent="0.25">
      <c r="B66" s="39">
        <f t="shared" si="8"/>
        <v>46966</v>
      </c>
      <c r="C66" s="39">
        <f t="shared" si="1"/>
        <v>46996</v>
      </c>
      <c r="D66" s="4">
        <f t="shared" si="5"/>
        <v>1972.2492211024598</v>
      </c>
      <c r="E66" s="92"/>
      <c r="F66" s="30">
        <f t="shared" si="0"/>
        <v>31</v>
      </c>
      <c r="G66" s="31">
        <f t="shared" si="2"/>
        <v>13.530922934940646</v>
      </c>
      <c r="H66" s="121"/>
      <c r="I66" s="115"/>
    </row>
    <row r="67" spans="2:9" x14ac:dyDescent="0.25">
      <c r="B67" s="39">
        <f t="shared" si="8"/>
        <v>46997</v>
      </c>
      <c r="C67" s="39">
        <f t="shared" si="1"/>
        <v>47026</v>
      </c>
      <c r="D67" s="4">
        <f t="shared" si="5"/>
        <v>1985.7801440374005</v>
      </c>
      <c r="E67" s="92"/>
      <c r="F67" s="30">
        <f t="shared" si="0"/>
        <v>30</v>
      </c>
      <c r="G67" s="31">
        <f t="shared" si="2"/>
        <v>13.184278005494214</v>
      </c>
      <c r="H67" s="121"/>
      <c r="I67" s="115"/>
    </row>
    <row r="68" spans="2:9" x14ac:dyDescent="0.25">
      <c r="B68" s="39">
        <f t="shared" si="8"/>
        <v>47027</v>
      </c>
      <c r="C68" s="39">
        <f t="shared" si="1"/>
        <v>47057</v>
      </c>
      <c r="D68" s="4">
        <f t="shared" si="5"/>
        <v>1998.9644220428947</v>
      </c>
      <c r="E68" s="92"/>
      <c r="F68" s="30">
        <f t="shared" si="0"/>
        <v>31</v>
      </c>
      <c r="G68" s="31">
        <f t="shared" si="2"/>
        <v>13.71420673155658</v>
      </c>
      <c r="H68" s="121"/>
      <c r="I68" s="115"/>
    </row>
    <row r="69" spans="2:9" x14ac:dyDescent="0.25">
      <c r="B69" s="39">
        <f t="shared" si="8"/>
        <v>47058</v>
      </c>
      <c r="C69" s="39">
        <f t="shared" si="1"/>
        <v>47087</v>
      </c>
      <c r="D69" s="4">
        <f t="shared" si="5"/>
        <v>2012.6786287744512</v>
      </c>
      <c r="E69" s="92"/>
      <c r="F69" s="30">
        <f t="shared" si="0"/>
        <v>30</v>
      </c>
      <c r="G69" s="31">
        <f t="shared" si="2"/>
        <v>13.362866305797583</v>
      </c>
      <c r="H69" s="121">
        <f>H56-H57</f>
        <v>1875.09375</v>
      </c>
      <c r="I69" s="115">
        <v>1</v>
      </c>
    </row>
    <row r="70" spans="2:9" x14ac:dyDescent="0.25">
      <c r="B70" s="39">
        <f t="shared" si="8"/>
        <v>47088</v>
      </c>
      <c r="C70" s="39">
        <f>B70+14</f>
        <v>47102</v>
      </c>
      <c r="D70" s="4">
        <f t="shared" si="5"/>
        <v>2026.0414950802488</v>
      </c>
      <c r="E70" s="92">
        <f>SUM(G58:G70)+H70</f>
        <v>2032.7672885680147</v>
      </c>
      <c r="F70" s="30">
        <f t="shared" si="0"/>
        <v>15</v>
      </c>
      <c r="G70" s="31">
        <f t="shared" si="2"/>
        <v>6.7257934877663983</v>
      </c>
      <c r="H70" s="121">
        <f>H69*I69</f>
        <v>1875.09375</v>
      </c>
      <c r="I70" s="115"/>
    </row>
    <row r="71" spans="2:9" x14ac:dyDescent="0.25">
      <c r="B71" s="39">
        <f t="shared" si="8"/>
        <v>47103</v>
      </c>
      <c r="C71" s="39">
        <f>B71</f>
        <v>47103</v>
      </c>
      <c r="D71" s="4">
        <f t="shared" si="5"/>
        <v>0</v>
      </c>
      <c r="E71" s="92"/>
      <c r="F71" s="30"/>
      <c r="G71" s="31">
        <f t="shared" si="2"/>
        <v>0</v>
      </c>
      <c r="H71" s="121">
        <f>H70*I70</f>
        <v>0</v>
      </c>
      <c r="I71" s="115"/>
    </row>
    <row r="72" spans="2:9" x14ac:dyDescent="0.25">
      <c r="B72" s="39"/>
      <c r="C72" s="39"/>
      <c r="D72" s="4"/>
      <c r="E72" s="92"/>
      <c r="F72" s="30"/>
      <c r="G72" s="31"/>
      <c r="H72" s="121"/>
      <c r="I72" s="115"/>
    </row>
    <row r="73" spans="2:9" x14ac:dyDescent="0.25">
      <c r="B73" s="39"/>
      <c r="C73" s="39"/>
      <c r="D73" s="4"/>
      <c r="E73" s="92"/>
      <c r="F73" s="30"/>
      <c r="G73" s="31"/>
      <c r="H73" s="121"/>
      <c r="I73" s="115"/>
    </row>
    <row r="74" spans="2:9" s="32" customFormat="1" x14ac:dyDescent="0.25">
      <c r="B74" s="112" t="s">
        <v>44</v>
      </c>
      <c r="C74" s="112"/>
      <c r="D74" s="17"/>
      <c r="E74" s="92"/>
      <c r="F74" s="34"/>
      <c r="G74" s="31">
        <f>SUM(G9:G73)</f>
        <v>2233.2606226138964</v>
      </c>
      <c r="H74" s="101"/>
      <c r="I74" s="115"/>
    </row>
    <row r="76" spans="2:9" x14ac:dyDescent="0.25">
      <c r="B76" s="22" t="s">
        <v>12</v>
      </c>
      <c r="C76" s="36">
        <f>SUM(F9:F72)</f>
        <v>1751</v>
      </c>
      <c r="D76" s="37">
        <f>C76/366</f>
        <v>4.7841530054644812</v>
      </c>
      <c r="E76" s="37">
        <f>D76*12</f>
        <v>57.409836065573771</v>
      </c>
    </row>
    <row r="77" spans="2:9" x14ac:dyDescent="0.25">
      <c r="B77" s="22" t="s">
        <v>13</v>
      </c>
      <c r="C77" s="79">
        <f>SUM(G9:G72)</f>
        <v>2233.2606226138964</v>
      </c>
    </row>
    <row r="78" spans="2:9" x14ac:dyDescent="0.25">
      <c r="B78" s="22" t="s">
        <v>16</v>
      </c>
      <c r="C78" s="24">
        <f>C77+C5</f>
        <v>12233.260622613896</v>
      </c>
    </row>
    <row r="79" spans="2:9" x14ac:dyDescent="0.25">
      <c r="B79" s="22" t="s">
        <v>17</v>
      </c>
      <c r="C79" s="25">
        <f>EFFECT(F5,E76)</f>
        <v>8.4308549021311574E-2</v>
      </c>
    </row>
    <row r="80" spans="2:9" ht="15.75" thickBot="1" x14ac:dyDescent="0.3">
      <c r="C80" s="37"/>
    </row>
    <row r="81" spans="2:6" x14ac:dyDescent="0.25">
      <c r="B81" s="63" t="s">
        <v>20</v>
      </c>
      <c r="C81" s="88">
        <f>C5</f>
        <v>10000</v>
      </c>
      <c r="D81" s="64"/>
      <c r="E81" s="90" t="s">
        <v>23</v>
      </c>
      <c r="F81" s="91">
        <f>SUM(G9:G73)</f>
        <v>2233.2606226138964</v>
      </c>
    </row>
    <row r="82" spans="2:6" x14ac:dyDescent="0.25">
      <c r="B82" s="43"/>
      <c r="E82" s="87"/>
      <c r="F82" s="45"/>
    </row>
    <row r="83" spans="2:6" ht="15.75" thickBot="1" x14ac:dyDescent="0.3">
      <c r="B83" s="43" t="s">
        <v>21</v>
      </c>
      <c r="C83" s="86">
        <f>H44+H31+H18+H57+H70</f>
        <v>10000</v>
      </c>
      <c r="E83" s="87" t="s">
        <v>24</v>
      </c>
      <c r="F83" s="46">
        <f>(E18-H18)+(E31-H31)+(E44-H44)+(E57-H57)+(E70-H70)</f>
        <v>2233.2606226138969</v>
      </c>
    </row>
    <row r="84" spans="2:6" ht="15.75" thickTop="1" x14ac:dyDescent="0.25">
      <c r="B84" s="43"/>
      <c r="F84" s="45"/>
    </row>
    <row r="85" spans="2:6" x14ac:dyDescent="0.25">
      <c r="B85" s="43" t="s">
        <v>22</v>
      </c>
      <c r="C85" s="47">
        <f>C81-C83</f>
        <v>0</v>
      </c>
      <c r="E85" s="87" t="s">
        <v>25</v>
      </c>
      <c r="F85" s="44">
        <f>F81-F83</f>
        <v>0</v>
      </c>
    </row>
    <row r="86" spans="2:6" ht="15.75" thickBot="1" x14ac:dyDescent="0.3">
      <c r="B86" s="48"/>
      <c r="C86" s="49"/>
      <c r="D86" s="49"/>
      <c r="E86" s="49"/>
      <c r="F86" s="50"/>
    </row>
  </sheetData>
  <pageMargins left="0.7" right="0.7" top="0.75" bottom="0.75" header="0.3" footer="0.3"/>
  <pageSetup scale="46" fitToWidth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FF7CA4-9AB3-4669-AF82-FB65E9C8C8EF}">
  <sheetPr>
    <tabColor rgb="FF00B050"/>
    <pageSetUpPr fitToPage="1"/>
  </sheetPr>
  <dimension ref="A1:P47"/>
  <sheetViews>
    <sheetView zoomScaleNormal="100" workbookViewId="0">
      <selection activeCell="B36" sqref="B36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0.28515625" style="22" customWidth="1"/>
    <col min="9" max="9" width="16.42578125" style="70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7"/>
    </row>
    <row r="2" spans="1:16" ht="23.25" x14ac:dyDescent="0.35">
      <c r="A2" s="21"/>
      <c r="B2" s="113" t="s">
        <v>36</v>
      </c>
      <c r="C2" s="113"/>
      <c r="D2" s="113"/>
      <c r="E2" s="113"/>
      <c r="F2" s="113"/>
      <c r="G2" s="113"/>
      <c r="H2" s="113"/>
      <c r="I2" s="117"/>
      <c r="K2" s="47">
        <f>$C$5*L2</f>
        <v>5000</v>
      </c>
      <c r="L2" s="83">
        <v>0.5</v>
      </c>
    </row>
    <row r="3" spans="1:16" x14ac:dyDescent="0.25">
      <c r="K3" s="47">
        <f>($C$5-$K$2)*L3</f>
        <v>5000</v>
      </c>
      <c r="L3" s="83">
        <v>1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  <c r="K4" s="47">
        <f>($C$5-$K$2-$K$3)*L4</f>
        <v>0</v>
      </c>
      <c r="L4" s="83">
        <v>0</v>
      </c>
      <c r="M4" s="22"/>
      <c r="N4" s="22"/>
      <c r="O4" s="22"/>
      <c r="P4" s="22"/>
    </row>
    <row r="5" spans="1:16" x14ac:dyDescent="0.25">
      <c r="B5" s="72">
        <v>45352</v>
      </c>
      <c r="C5" s="20">
        <v>10000</v>
      </c>
      <c r="D5" s="24">
        <f>C5/2</f>
        <v>5000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  <c r="K5" s="47">
        <f>($C$5-$K$2-$K$3-$K$4)*L5</f>
        <v>0</v>
      </c>
      <c r="L5" s="83">
        <v>0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($C$5-$K$2-$K$3-$K$4-$K$5)*L6</f>
        <v>0</v>
      </c>
      <c r="L6" s="83">
        <v>0</v>
      </c>
    </row>
    <row r="7" spans="1:16" x14ac:dyDescent="0.25">
      <c r="C7" s="26"/>
      <c r="E7" s="93"/>
      <c r="F7" s="67"/>
      <c r="G7" s="25"/>
      <c r="K7" s="47">
        <f>($C$5-$K$2-$K$3-$K$4-$K$5-$K$6)*L7</f>
        <v>0</v>
      </c>
      <c r="L7" s="83">
        <v>0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09" t="s">
        <v>19</v>
      </c>
      <c r="M8" s="22"/>
      <c r="N8" s="22"/>
      <c r="O8" s="22"/>
      <c r="P8" s="22"/>
    </row>
    <row r="9" spans="1:16" x14ac:dyDescent="0.25">
      <c r="B9" s="39">
        <f>B5</f>
        <v>45352</v>
      </c>
      <c r="C9" s="39">
        <f>EOMONTH(B9,0)</f>
        <v>45382</v>
      </c>
      <c r="D9" s="4">
        <f>C5</f>
        <v>10000</v>
      </c>
      <c r="E9" s="92"/>
      <c r="F9" s="30">
        <f t="shared" ref="F9:F31" si="0">C9-B9+1</f>
        <v>31</v>
      </c>
      <c r="G9" s="31">
        <f>$G$5*F9*D9</f>
        <v>68.606557377049171</v>
      </c>
      <c r="H9" s="121"/>
      <c r="I9" s="118"/>
    </row>
    <row r="10" spans="1:16" x14ac:dyDescent="0.25">
      <c r="B10" s="39">
        <f>C9+1</f>
        <v>45383</v>
      </c>
      <c r="C10" s="39">
        <f t="shared" ref="C10:C23" si="1">IF(B10=44896,"December 15, 2022",IF(B10=45261,"December 15, 2023",IF(B10=45627,"December 15, 2024",IF(B10=45992,"December 15, 2025",IF(B10=46357,"December 15, 2026",IF(B10=46722,"December 15, 2027",IF(B10=47088,"December 15, 2028",IF(B10=47453,"December 15, 2029",IF(B10=47818,"December 15, 2030",IF(B10=48183,"December 15, 2031",EOMONTH(B10,0)))))))))))</f>
        <v>45412</v>
      </c>
      <c r="D10" s="4">
        <f>D9+G9-E9</f>
        <v>10068.606557377048</v>
      </c>
      <c r="E10" s="92"/>
      <c r="F10" s="30">
        <f t="shared" si="0"/>
        <v>30</v>
      </c>
      <c r="G10" s="31">
        <f t="shared" ref="G10:G32" si="2">$G$5*F10*D10</f>
        <v>66.848945176027925</v>
      </c>
      <c r="H10" s="125"/>
      <c r="I10" s="118"/>
    </row>
    <row r="11" spans="1:16" x14ac:dyDescent="0.25">
      <c r="B11" s="39">
        <f t="shared" ref="B11:B23" si="3">C10+1</f>
        <v>45413</v>
      </c>
      <c r="C11" s="39">
        <f t="shared" si="1"/>
        <v>45443</v>
      </c>
      <c r="D11" s="4">
        <f t="shared" ref="D11:D17" si="4">D10+G10-E10</f>
        <v>10135.455502553077</v>
      </c>
      <c r="E11" s="92"/>
      <c r="F11" s="30">
        <f t="shared" si="0"/>
        <v>31</v>
      </c>
      <c r="G11" s="31">
        <f t="shared" si="2"/>
        <v>69.535870947843648</v>
      </c>
      <c r="H11" s="121"/>
      <c r="I11" s="118"/>
    </row>
    <row r="12" spans="1:16" x14ac:dyDescent="0.25">
      <c r="B12" s="39">
        <f t="shared" si="3"/>
        <v>45444</v>
      </c>
      <c r="C12" s="39">
        <f t="shared" si="1"/>
        <v>45473</v>
      </c>
      <c r="D12" s="4">
        <f t="shared" si="4"/>
        <v>10204.991373500921</v>
      </c>
      <c r="E12" s="92"/>
      <c r="F12" s="30">
        <f t="shared" si="0"/>
        <v>30</v>
      </c>
      <c r="G12" s="31">
        <f t="shared" si="2"/>
        <v>67.754450922424141</v>
      </c>
      <c r="H12" s="123"/>
      <c r="I12" s="118"/>
    </row>
    <row r="13" spans="1:16" x14ac:dyDescent="0.25">
      <c r="B13" s="39">
        <f t="shared" si="3"/>
        <v>45474</v>
      </c>
      <c r="C13" s="39">
        <f t="shared" si="1"/>
        <v>45504</v>
      </c>
      <c r="D13" s="4">
        <f t="shared" si="4"/>
        <v>10272.745824423346</v>
      </c>
      <c r="E13" s="92"/>
      <c r="F13" s="30">
        <f t="shared" si="0"/>
        <v>31</v>
      </c>
      <c r="G13" s="31">
        <f t="shared" si="2"/>
        <v>70.477772582314259</v>
      </c>
      <c r="H13" s="54"/>
      <c r="I13" s="119"/>
      <c r="J13" s="85"/>
    </row>
    <row r="14" spans="1:16" x14ac:dyDescent="0.25">
      <c r="B14" s="39">
        <f t="shared" si="3"/>
        <v>45505</v>
      </c>
      <c r="C14" s="39">
        <f t="shared" si="1"/>
        <v>45535</v>
      </c>
      <c r="D14" s="4">
        <f t="shared" si="4"/>
        <v>10343.223597005661</v>
      </c>
      <c r="E14" s="92"/>
      <c r="F14" s="30">
        <f t="shared" si="0"/>
        <v>31</v>
      </c>
      <c r="G14" s="31">
        <f t="shared" si="2"/>
        <v>70.961296317161782</v>
      </c>
      <c r="H14" s="121"/>
      <c r="I14" s="118"/>
      <c r="J14" s="85"/>
    </row>
    <row r="15" spans="1:16" x14ac:dyDescent="0.25">
      <c r="B15" s="39">
        <f t="shared" si="3"/>
        <v>45536</v>
      </c>
      <c r="C15" s="39">
        <f t="shared" si="1"/>
        <v>45565</v>
      </c>
      <c r="D15" s="4">
        <f t="shared" si="4"/>
        <v>10414.184893322823</v>
      </c>
      <c r="E15" s="92"/>
      <c r="F15" s="30">
        <f t="shared" si="0"/>
        <v>30</v>
      </c>
      <c r="G15" s="31">
        <f t="shared" si="2"/>
        <v>69.143358717962997</v>
      </c>
      <c r="H15" s="121"/>
      <c r="I15" s="118"/>
    </row>
    <row r="16" spans="1:16" x14ac:dyDescent="0.25">
      <c r="B16" s="39">
        <f t="shared" si="3"/>
        <v>45566</v>
      </c>
      <c r="C16" s="39">
        <f t="shared" si="1"/>
        <v>45596</v>
      </c>
      <c r="D16" s="4">
        <f t="shared" si="4"/>
        <v>10483.328252040787</v>
      </c>
      <c r="E16" s="92"/>
      <c r="F16" s="30">
        <f t="shared" si="0"/>
        <v>31</v>
      </c>
      <c r="G16" s="31">
        <f t="shared" si="2"/>
        <v>71.922506122607686</v>
      </c>
      <c r="H16" s="121"/>
      <c r="I16" s="118"/>
    </row>
    <row r="17" spans="2:9" x14ac:dyDescent="0.25">
      <c r="B17" s="39">
        <f t="shared" si="3"/>
        <v>45597</v>
      </c>
      <c r="C17" s="39">
        <f t="shared" si="1"/>
        <v>45626</v>
      </c>
      <c r="D17" s="4">
        <f t="shared" si="4"/>
        <v>10555.250758163394</v>
      </c>
      <c r="E17" s="92"/>
      <c r="F17" s="30">
        <f t="shared" si="0"/>
        <v>30</v>
      </c>
      <c r="G17" s="31">
        <f t="shared" si="2"/>
        <v>70.079943558297941</v>
      </c>
      <c r="H17" s="121">
        <f>$C$5</f>
        <v>10000</v>
      </c>
      <c r="I17" s="118">
        <v>0.5</v>
      </c>
    </row>
    <row r="18" spans="2:9" x14ac:dyDescent="0.25">
      <c r="B18" s="39">
        <f t="shared" si="3"/>
        <v>45627</v>
      </c>
      <c r="C18" s="39" t="str">
        <f t="shared" si="1"/>
        <v>December 15, 2024</v>
      </c>
      <c r="D18" s="4">
        <f>D17+G17-E17</f>
        <v>10625.330701721692</v>
      </c>
      <c r="E18" s="92">
        <f>SUM($G$9:G18)+H18</f>
        <v>5660.6033159364215</v>
      </c>
      <c r="F18" s="30">
        <f t="shared" si="0"/>
        <v>15</v>
      </c>
      <c r="G18" s="31">
        <f t="shared" si="2"/>
        <v>35.272614214731838</v>
      </c>
      <c r="H18" s="125">
        <f>H17*I17</f>
        <v>5000</v>
      </c>
      <c r="I18" s="120"/>
    </row>
    <row r="19" spans="2:9" x14ac:dyDescent="0.25">
      <c r="B19" s="39">
        <f t="shared" si="3"/>
        <v>45642</v>
      </c>
      <c r="C19" s="39">
        <f t="shared" si="1"/>
        <v>45657</v>
      </c>
      <c r="D19" s="4">
        <f t="shared" ref="D19:D32" si="5">D18+G18-E18</f>
        <v>5000.0000000000018</v>
      </c>
      <c r="E19" s="92"/>
      <c r="F19" s="30">
        <f t="shared" si="0"/>
        <v>16</v>
      </c>
      <c r="G19" s="31">
        <f t="shared" si="2"/>
        <v>17.704918032786889</v>
      </c>
      <c r="H19" s="125"/>
      <c r="I19" s="120"/>
    </row>
    <row r="20" spans="2:9" x14ac:dyDescent="0.25">
      <c r="B20" s="39">
        <f t="shared" si="3"/>
        <v>45658</v>
      </c>
      <c r="C20" s="39">
        <f t="shared" si="1"/>
        <v>45688</v>
      </c>
      <c r="D20" s="4">
        <f t="shared" si="5"/>
        <v>5017.7049180327886</v>
      </c>
      <c r="E20" s="92"/>
      <c r="F20" s="30">
        <f t="shared" si="0"/>
        <v>31</v>
      </c>
      <c r="G20" s="31">
        <f t="shared" si="2"/>
        <v>34.424746036011832</v>
      </c>
      <c r="H20" s="125"/>
      <c r="I20" s="120"/>
    </row>
    <row r="21" spans="2:9" x14ac:dyDescent="0.25">
      <c r="B21" s="39">
        <f t="shared" si="3"/>
        <v>45689</v>
      </c>
      <c r="C21" s="39">
        <f t="shared" si="1"/>
        <v>45716</v>
      </c>
      <c r="D21" s="4">
        <f t="shared" si="5"/>
        <v>5052.1296640688006</v>
      </c>
      <c r="E21" s="92"/>
      <c r="F21" s="30">
        <f t="shared" si="0"/>
        <v>28</v>
      </c>
      <c r="G21" s="31">
        <f t="shared" si="2"/>
        <v>31.306639557672234</v>
      </c>
      <c r="H21" s="125"/>
      <c r="I21" s="120"/>
    </row>
    <row r="22" spans="2:9" x14ac:dyDescent="0.25">
      <c r="B22" s="39">
        <f t="shared" si="3"/>
        <v>45717</v>
      </c>
      <c r="C22" s="39">
        <f t="shared" si="1"/>
        <v>45747</v>
      </c>
      <c r="D22" s="4">
        <f t="shared" si="5"/>
        <v>5083.4363036264731</v>
      </c>
      <c r="E22" s="92"/>
      <c r="F22" s="30">
        <f t="shared" si="0"/>
        <v>31</v>
      </c>
      <c r="G22" s="31">
        <f t="shared" si="2"/>
        <v>34.87570644373244</v>
      </c>
      <c r="H22" s="125"/>
      <c r="I22" s="120"/>
    </row>
    <row r="23" spans="2:9" x14ac:dyDescent="0.25">
      <c r="B23" s="39">
        <f t="shared" si="3"/>
        <v>45748</v>
      </c>
      <c r="C23" s="39">
        <f t="shared" si="1"/>
        <v>45777</v>
      </c>
      <c r="D23" s="4">
        <f t="shared" si="5"/>
        <v>5118.3120100702054</v>
      </c>
      <c r="E23" s="92"/>
      <c r="F23" s="30">
        <f t="shared" si="0"/>
        <v>30</v>
      </c>
      <c r="G23" s="31">
        <f t="shared" si="2"/>
        <v>33.982235476695621</v>
      </c>
      <c r="H23" s="125"/>
      <c r="I23" s="120"/>
    </row>
    <row r="24" spans="2:9" x14ac:dyDescent="0.25">
      <c r="B24" s="39">
        <f t="shared" ref="B24:B25" si="6">C23+1</f>
        <v>45778</v>
      </c>
      <c r="C24" s="39">
        <f t="shared" ref="C24" si="7">IF(B24=44896,"December 15, 2022",IF(B24=45261,"December 15, 2023",IF(B24=45627,"December 15, 2024",IF(B24=45992,"December 15, 2025",IF(B24=46357,"December 15, 2026",IF(B24=46722,"December 15, 2027",IF(B24=47088,"December 15, 2028",IF(B24=47453,"December 15, 2029",IF(B24=47818,"December 15, 2030",IF(B24=48183,"December 15, 2031",EOMONTH(B24,0)))))))))))</f>
        <v>45808</v>
      </c>
      <c r="D24" s="4">
        <f t="shared" si="5"/>
        <v>5152.294245546901</v>
      </c>
      <c r="E24" s="92"/>
      <c r="F24" s="30">
        <f t="shared" si="0"/>
        <v>31</v>
      </c>
      <c r="G24" s="31">
        <f t="shared" si="2"/>
        <v>35.348117078055374</v>
      </c>
      <c r="H24" s="125"/>
      <c r="I24" s="120"/>
    </row>
    <row r="25" spans="2:9" x14ac:dyDescent="0.25">
      <c r="B25" s="39">
        <f t="shared" si="6"/>
        <v>45809</v>
      </c>
      <c r="C25" s="39">
        <f>EOMONTH(B25,0)</f>
        <v>45838</v>
      </c>
      <c r="D25" s="4">
        <f t="shared" si="5"/>
        <v>5187.6423626249561</v>
      </c>
      <c r="E25" s="92"/>
      <c r="F25" s="30">
        <f t="shared" si="0"/>
        <v>30</v>
      </c>
      <c r="G25" s="31">
        <f t="shared" si="2"/>
        <v>34.4425435551329</v>
      </c>
      <c r="H25" s="125"/>
      <c r="I25" s="120"/>
    </row>
    <row r="26" spans="2:9" x14ac:dyDescent="0.25">
      <c r="B26" s="39">
        <f t="shared" ref="B26:B32" si="8">C25+1</f>
        <v>45839</v>
      </c>
      <c r="C26" s="39">
        <f t="shared" ref="C26:C30" si="9">EOMONTH(B26,0)</f>
        <v>45869</v>
      </c>
      <c r="D26" s="4">
        <f t="shared" si="5"/>
        <v>5222.0849061800891</v>
      </c>
      <c r="E26" s="92"/>
      <c r="F26" s="30">
        <f t="shared" si="0"/>
        <v>31</v>
      </c>
      <c r="G26" s="31">
        <f t="shared" si="2"/>
        <v>35.826926774366676</v>
      </c>
      <c r="H26" s="125"/>
      <c r="I26" s="120"/>
    </row>
    <row r="27" spans="2:9" x14ac:dyDescent="0.25">
      <c r="B27" s="39">
        <f t="shared" si="8"/>
        <v>45870</v>
      </c>
      <c r="C27" s="39">
        <f t="shared" si="9"/>
        <v>45900</v>
      </c>
      <c r="D27" s="4">
        <f t="shared" si="5"/>
        <v>5257.9118329544553</v>
      </c>
      <c r="E27" s="92"/>
      <c r="F27" s="30">
        <f t="shared" si="0"/>
        <v>31</v>
      </c>
      <c r="G27" s="31">
        <f t="shared" si="2"/>
        <v>36.072722985105564</v>
      </c>
      <c r="H27" s="125"/>
      <c r="I27" s="120"/>
    </row>
    <row r="28" spans="2:9" x14ac:dyDescent="0.25">
      <c r="B28" s="39">
        <f t="shared" si="8"/>
        <v>45901</v>
      </c>
      <c r="C28" s="39">
        <f t="shared" si="9"/>
        <v>45930</v>
      </c>
      <c r="D28" s="4">
        <f t="shared" si="5"/>
        <v>5293.9845559395608</v>
      </c>
      <c r="E28" s="92"/>
      <c r="F28" s="30">
        <f t="shared" si="0"/>
        <v>30</v>
      </c>
      <c r="G28" s="31">
        <f t="shared" si="2"/>
        <v>35.148585986156093</v>
      </c>
      <c r="H28" s="125"/>
      <c r="I28" s="120"/>
    </row>
    <row r="29" spans="2:9" x14ac:dyDescent="0.25">
      <c r="B29" s="39">
        <f t="shared" si="8"/>
        <v>45931</v>
      </c>
      <c r="C29" s="39">
        <f t="shared" si="9"/>
        <v>45961</v>
      </c>
      <c r="D29" s="4">
        <f t="shared" si="5"/>
        <v>5329.1331419257167</v>
      </c>
      <c r="E29" s="92"/>
      <c r="F29" s="30">
        <f t="shared" si="0"/>
        <v>31</v>
      </c>
      <c r="G29" s="31">
        <f t="shared" si="2"/>
        <v>36.561347867146104</v>
      </c>
      <c r="H29" s="125"/>
      <c r="I29" s="120"/>
    </row>
    <row r="30" spans="2:9" x14ac:dyDescent="0.25">
      <c r="B30" s="39">
        <f t="shared" si="8"/>
        <v>45962</v>
      </c>
      <c r="C30" s="39">
        <f t="shared" si="9"/>
        <v>45991</v>
      </c>
      <c r="D30" s="4">
        <f t="shared" si="5"/>
        <v>5365.6944897928624</v>
      </c>
      <c r="E30" s="92"/>
      <c r="F30" s="30">
        <f t="shared" si="0"/>
        <v>30</v>
      </c>
      <c r="G30" s="31">
        <f t="shared" si="2"/>
        <v>35.624692924034569</v>
      </c>
      <c r="H30" s="121">
        <f>H17-H18</f>
        <v>5000</v>
      </c>
      <c r="I30" s="118">
        <v>1</v>
      </c>
    </row>
    <row r="31" spans="2:9" x14ac:dyDescent="0.25">
      <c r="B31" s="39">
        <f t="shared" si="8"/>
        <v>45992</v>
      </c>
      <c r="C31" s="39">
        <f>B31+14</f>
        <v>46006</v>
      </c>
      <c r="D31" s="4">
        <f t="shared" si="5"/>
        <v>5401.3191827168966</v>
      </c>
      <c r="E31" s="92">
        <f>SUM(G19:G31)+H31</f>
        <v>5419.2497914791938</v>
      </c>
      <c r="F31" s="30">
        <f t="shared" si="0"/>
        <v>15</v>
      </c>
      <c r="G31" s="31">
        <f t="shared" si="2"/>
        <v>17.93060876229789</v>
      </c>
      <c r="H31" s="125">
        <f>H30*I30</f>
        <v>5000</v>
      </c>
      <c r="I31" s="120"/>
    </row>
    <row r="32" spans="2:9" x14ac:dyDescent="0.25">
      <c r="B32" s="39">
        <f t="shared" si="8"/>
        <v>46007</v>
      </c>
      <c r="C32" s="39">
        <f>B32</f>
        <v>46007</v>
      </c>
      <c r="D32" s="4">
        <f t="shared" si="5"/>
        <v>0</v>
      </c>
      <c r="E32" s="92"/>
      <c r="F32" s="30"/>
      <c r="G32" s="31">
        <f t="shared" si="2"/>
        <v>0</v>
      </c>
      <c r="H32" s="125">
        <f>H31*I31</f>
        <v>0</v>
      </c>
      <c r="I32" s="120"/>
    </row>
    <row r="33" spans="2:9" x14ac:dyDescent="0.25">
      <c r="B33" s="39"/>
      <c r="C33" s="39"/>
      <c r="D33" s="4"/>
      <c r="E33" s="92"/>
      <c r="F33" s="30"/>
      <c r="G33" s="31"/>
      <c r="H33" s="125"/>
      <c r="I33" s="120"/>
    </row>
    <row r="34" spans="2:9" x14ac:dyDescent="0.25">
      <c r="B34" s="39"/>
      <c r="C34" s="39"/>
      <c r="D34" s="4"/>
      <c r="E34" s="92"/>
      <c r="F34" s="30"/>
      <c r="G34" s="31"/>
      <c r="H34" s="125"/>
      <c r="I34" s="120"/>
    </row>
    <row r="35" spans="2:9" s="32" customFormat="1" x14ac:dyDescent="0.25">
      <c r="B35" s="112" t="s">
        <v>44</v>
      </c>
      <c r="C35" s="112"/>
      <c r="D35" s="17"/>
      <c r="E35" s="94"/>
      <c r="F35" s="34"/>
      <c r="G35" s="31">
        <f>SUM(G9:G32)</f>
        <v>1079.8531074156158</v>
      </c>
      <c r="H35" s="101"/>
      <c r="I35" s="118"/>
    </row>
    <row r="37" spans="2:9" x14ac:dyDescent="0.25">
      <c r="B37" s="22" t="s">
        <v>12</v>
      </c>
      <c r="C37" s="36">
        <f>SUM(F9:F33)</f>
        <v>655</v>
      </c>
      <c r="D37" s="37">
        <f>C37/366</f>
        <v>1.7896174863387979</v>
      </c>
      <c r="E37" s="37">
        <f>D37*12</f>
        <v>21.475409836065573</v>
      </c>
    </row>
    <row r="38" spans="2:9" x14ac:dyDescent="0.25">
      <c r="B38" s="22" t="s">
        <v>13</v>
      </c>
      <c r="C38" s="79">
        <f>SUM(G9:G33)</f>
        <v>1079.8531074156158</v>
      </c>
    </row>
    <row r="39" spans="2:9" x14ac:dyDescent="0.25">
      <c r="B39" s="22" t="s">
        <v>16</v>
      </c>
      <c r="C39" s="24">
        <f>C38+C5</f>
        <v>11079.853107415616</v>
      </c>
    </row>
    <row r="40" spans="2:9" x14ac:dyDescent="0.25">
      <c r="B40" s="22" t="s">
        <v>17</v>
      </c>
      <c r="C40" s="25">
        <f>EFFECT(F5,E37)</f>
        <v>8.4201949833096368E-2</v>
      </c>
    </row>
    <row r="41" spans="2:9" ht="15.75" thickBot="1" x14ac:dyDescent="0.3">
      <c r="C41" s="37"/>
    </row>
    <row r="42" spans="2:9" x14ac:dyDescent="0.25">
      <c r="B42" s="63" t="s">
        <v>20</v>
      </c>
      <c r="C42" s="88">
        <f>C5</f>
        <v>10000</v>
      </c>
      <c r="D42" s="64"/>
      <c r="E42" s="90" t="s">
        <v>23</v>
      </c>
      <c r="F42" s="91">
        <f>SUM(G9:G34)</f>
        <v>1079.8531074156158</v>
      </c>
    </row>
    <row r="43" spans="2:9" x14ac:dyDescent="0.25">
      <c r="B43" s="43"/>
      <c r="E43" s="87"/>
      <c r="F43" s="45"/>
    </row>
    <row r="44" spans="2:9" ht="15.75" thickBot="1" x14ac:dyDescent="0.3">
      <c r="B44" s="43" t="s">
        <v>21</v>
      </c>
      <c r="C44" s="86">
        <f>H18+H31</f>
        <v>10000</v>
      </c>
      <c r="E44" s="87" t="s">
        <v>24</v>
      </c>
      <c r="F44" s="46">
        <f>(E18-H18)+(E31-H31)</f>
        <v>1079.8531074156153</v>
      </c>
    </row>
    <row r="45" spans="2:9" ht="15.75" thickTop="1" x14ac:dyDescent="0.25">
      <c r="B45" s="43"/>
      <c r="F45" s="45"/>
    </row>
    <row r="46" spans="2:9" x14ac:dyDescent="0.25">
      <c r="B46" s="43" t="s">
        <v>22</v>
      </c>
      <c r="C46" s="47">
        <f>C42-C44</f>
        <v>0</v>
      </c>
      <c r="E46" s="87" t="s">
        <v>25</v>
      </c>
      <c r="F46" s="44">
        <f>F42-F44</f>
        <v>0</v>
      </c>
    </row>
    <row r="47" spans="2:9" ht="15.75" thickBot="1" x14ac:dyDescent="0.3">
      <c r="B47" s="48"/>
      <c r="C47" s="49"/>
      <c r="D47" s="49"/>
      <c r="E47" s="49"/>
      <c r="F47" s="50"/>
    </row>
  </sheetData>
  <pageMargins left="0.7" right="0.7" top="0.75" bottom="0.75" header="0.3" footer="0.3"/>
  <pageSetup scale="46" fitToWidth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B91B7-C5F7-46D9-AE0A-55C64FCDC93E}">
  <sheetPr>
    <tabColor rgb="FF00B050"/>
    <pageSetUpPr fitToPage="1"/>
  </sheetPr>
  <dimension ref="A1:P73"/>
  <sheetViews>
    <sheetView zoomScaleNormal="100" workbookViewId="0">
      <selection activeCell="B62" sqref="B62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17.7109375" style="22" customWidth="1"/>
    <col min="9" max="9" width="16.42578125" style="70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7"/>
    </row>
    <row r="2" spans="1:16" ht="23.25" x14ac:dyDescent="0.35">
      <c r="A2" s="21"/>
      <c r="B2" s="113" t="s">
        <v>33</v>
      </c>
      <c r="C2" s="113"/>
      <c r="D2" s="113"/>
      <c r="E2" s="113"/>
      <c r="F2" s="113"/>
      <c r="G2" s="113"/>
      <c r="H2" s="113"/>
      <c r="I2" s="117"/>
      <c r="K2" s="47">
        <f>$C$5*L2</f>
        <v>2500</v>
      </c>
      <c r="L2" s="83">
        <v>0.25</v>
      </c>
    </row>
    <row r="3" spans="1:16" x14ac:dyDescent="0.25">
      <c r="K3" s="47">
        <f>($C$5-$K$2)*L3</f>
        <v>2499.9999999975003</v>
      </c>
      <c r="L3" s="83">
        <v>0.33333333333300003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  <c r="K4" s="47">
        <f>($C$5-$K$2-$K$3)*L4</f>
        <v>2500.0000000012496</v>
      </c>
      <c r="L4" s="83">
        <v>0.5</v>
      </c>
      <c r="M4" s="22"/>
      <c r="N4" s="22"/>
      <c r="O4" s="22"/>
      <c r="P4" s="22"/>
    </row>
    <row r="5" spans="1:16" x14ac:dyDescent="0.25">
      <c r="B5" s="72">
        <v>45352</v>
      </c>
      <c r="C5" s="20">
        <v>10000</v>
      </c>
      <c r="D5" s="24">
        <f>C5/4</f>
        <v>2500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  <c r="K5" s="47">
        <f>($C$5-$K$2-$K$3-$K$4)*L5</f>
        <v>2500.0000000012496</v>
      </c>
      <c r="L5" s="83">
        <v>1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($C$5-$K$2-$K$3-$K$4-$K$5)*L6</f>
        <v>0</v>
      </c>
      <c r="L6" s="83">
        <v>0</v>
      </c>
    </row>
    <row r="7" spans="1:16" x14ac:dyDescent="0.25">
      <c r="C7" s="26"/>
      <c r="E7" s="93"/>
      <c r="F7" s="67"/>
      <c r="G7" s="25"/>
      <c r="K7" s="47">
        <f>($C$5-$K$2-$K$3-$K$4-$K$5-$K$6)*L7</f>
        <v>0</v>
      </c>
      <c r="L7" s="83">
        <v>0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14" t="s">
        <v>42</v>
      </c>
      <c r="I8" s="122" t="s">
        <v>19</v>
      </c>
      <c r="M8" s="22"/>
      <c r="N8" s="22"/>
      <c r="O8" s="22"/>
      <c r="P8" s="22"/>
    </row>
    <row r="9" spans="1:16" x14ac:dyDescent="0.25">
      <c r="B9" s="39">
        <f>B5</f>
        <v>45352</v>
      </c>
      <c r="C9" s="39">
        <f>EOMONTH(B9,0)</f>
        <v>45382</v>
      </c>
      <c r="D9" s="4">
        <f>C5</f>
        <v>10000</v>
      </c>
      <c r="E9" s="92"/>
      <c r="F9" s="30">
        <f t="shared" ref="F9:F58" si="0">C9-B9+1</f>
        <v>31</v>
      </c>
      <c r="G9" s="31">
        <f>$G$5*F9*D9</f>
        <v>68.606557377049171</v>
      </c>
      <c r="H9" s="121"/>
      <c r="I9" s="118"/>
    </row>
    <row r="10" spans="1:16" x14ac:dyDescent="0.25">
      <c r="B10" s="39">
        <f>C9+1</f>
        <v>45383</v>
      </c>
      <c r="C10" s="39">
        <f t="shared" ref="C10:C48" si="1">IF(B10=44896,"December 15, 2022",IF(B10=45261,"December 15, 2023",IF(B10=45627,"December 15, 2024",IF(B10=45992,"December 15, 2025",IF(B10=46357,"December 15, 2026",IF(B10=46722,"December 15, 2027",IF(B10=47088,"December 15, 2028",IF(B10=47453,"December 15, 2029",IF(B10=47818,"December 15, 2030",IF(B10=48183,"December 15, 2031",EOMONTH(B10,0)))))))))))</f>
        <v>45412</v>
      </c>
      <c r="D10" s="4">
        <f>D9+G9-E9</f>
        <v>10068.606557377048</v>
      </c>
      <c r="E10" s="92"/>
      <c r="F10" s="30">
        <f t="shared" si="0"/>
        <v>30</v>
      </c>
      <c r="G10" s="31">
        <f t="shared" ref="G10:G59" si="2">$G$5*F10*D10</f>
        <v>66.848945176027925</v>
      </c>
      <c r="H10" s="121"/>
      <c r="I10" s="118"/>
    </row>
    <row r="11" spans="1:16" x14ac:dyDescent="0.25">
      <c r="B11" s="39">
        <f t="shared" ref="B11:B49" si="3">C10+1</f>
        <v>45413</v>
      </c>
      <c r="C11" s="39">
        <f t="shared" si="1"/>
        <v>45443</v>
      </c>
      <c r="D11" s="4">
        <f t="shared" ref="D11:D16" si="4">D10+G10-E10</f>
        <v>10135.455502553077</v>
      </c>
      <c r="E11" s="92"/>
      <c r="F11" s="30">
        <f t="shared" si="0"/>
        <v>31</v>
      </c>
      <c r="G11" s="31">
        <f t="shared" si="2"/>
        <v>69.535870947843648</v>
      </c>
      <c r="H11" s="121"/>
      <c r="I11" s="118"/>
    </row>
    <row r="12" spans="1:16" x14ac:dyDescent="0.25">
      <c r="B12" s="39">
        <f t="shared" si="3"/>
        <v>45444</v>
      </c>
      <c r="C12" s="39">
        <f t="shared" si="1"/>
        <v>45473</v>
      </c>
      <c r="D12" s="4">
        <f t="shared" si="4"/>
        <v>10204.991373500921</v>
      </c>
      <c r="E12" s="92"/>
      <c r="F12" s="30">
        <f t="shared" si="0"/>
        <v>30</v>
      </c>
      <c r="G12" s="31">
        <f t="shared" si="2"/>
        <v>67.754450922424141</v>
      </c>
      <c r="H12" s="121"/>
      <c r="I12" s="118"/>
    </row>
    <row r="13" spans="1:16" x14ac:dyDescent="0.25">
      <c r="B13" s="39">
        <f t="shared" si="3"/>
        <v>45474</v>
      </c>
      <c r="C13" s="39">
        <f t="shared" si="1"/>
        <v>45504</v>
      </c>
      <c r="D13" s="4">
        <f t="shared" si="4"/>
        <v>10272.745824423346</v>
      </c>
      <c r="E13" s="92"/>
      <c r="F13" s="30">
        <f t="shared" si="0"/>
        <v>31</v>
      </c>
      <c r="G13" s="31">
        <f t="shared" si="2"/>
        <v>70.477772582314259</v>
      </c>
      <c r="H13" s="121"/>
      <c r="I13" s="118"/>
      <c r="J13" s="85"/>
    </row>
    <row r="14" spans="1:16" x14ac:dyDescent="0.25">
      <c r="B14" s="39">
        <f t="shared" si="3"/>
        <v>45505</v>
      </c>
      <c r="C14" s="39">
        <f t="shared" si="1"/>
        <v>45535</v>
      </c>
      <c r="D14" s="4">
        <f t="shared" si="4"/>
        <v>10343.223597005661</v>
      </c>
      <c r="E14" s="92"/>
      <c r="F14" s="30">
        <f t="shared" si="0"/>
        <v>31</v>
      </c>
      <c r="G14" s="31">
        <f t="shared" si="2"/>
        <v>70.961296317161782</v>
      </c>
      <c r="H14" s="121"/>
      <c r="I14" s="118"/>
      <c r="J14" s="85"/>
    </row>
    <row r="15" spans="1:16" x14ac:dyDescent="0.25">
      <c r="B15" s="39">
        <f t="shared" si="3"/>
        <v>45536</v>
      </c>
      <c r="C15" s="39">
        <f t="shared" si="1"/>
        <v>45565</v>
      </c>
      <c r="D15" s="4">
        <f t="shared" si="4"/>
        <v>10414.184893322823</v>
      </c>
      <c r="E15" s="92"/>
      <c r="F15" s="30">
        <f t="shared" si="0"/>
        <v>30</v>
      </c>
      <c r="G15" s="31">
        <f t="shared" si="2"/>
        <v>69.143358717962997</v>
      </c>
      <c r="H15" s="121"/>
      <c r="I15" s="118"/>
    </row>
    <row r="16" spans="1:16" x14ac:dyDescent="0.25">
      <c r="B16" s="39">
        <f t="shared" si="3"/>
        <v>45566</v>
      </c>
      <c r="C16" s="39">
        <f t="shared" si="1"/>
        <v>45596</v>
      </c>
      <c r="D16" s="4">
        <f t="shared" si="4"/>
        <v>10483.328252040787</v>
      </c>
      <c r="E16" s="92"/>
      <c r="F16" s="30">
        <f t="shared" si="0"/>
        <v>31</v>
      </c>
      <c r="G16" s="31">
        <f t="shared" si="2"/>
        <v>71.922506122607686</v>
      </c>
      <c r="H16" s="121"/>
      <c r="I16" s="118"/>
    </row>
    <row r="17" spans="2:9" x14ac:dyDescent="0.25">
      <c r="B17" s="39">
        <f t="shared" si="3"/>
        <v>45597</v>
      </c>
      <c r="C17" s="39">
        <f t="shared" si="1"/>
        <v>45626</v>
      </c>
      <c r="D17" s="4">
        <f>D16+G16-E16</f>
        <v>10555.250758163394</v>
      </c>
      <c r="E17" s="92"/>
      <c r="F17" s="30">
        <f t="shared" si="0"/>
        <v>30</v>
      </c>
      <c r="G17" s="31">
        <f t="shared" si="2"/>
        <v>70.079943558297941</v>
      </c>
      <c r="H17" s="121">
        <f>$C$5</f>
        <v>10000</v>
      </c>
      <c r="I17" s="118">
        <v>0.25</v>
      </c>
    </row>
    <row r="18" spans="2:9" x14ac:dyDescent="0.25">
      <c r="B18" s="39">
        <f t="shared" si="3"/>
        <v>45627</v>
      </c>
      <c r="C18" s="39" t="str">
        <f t="shared" si="1"/>
        <v>December 15, 2024</v>
      </c>
      <c r="D18" s="4">
        <f t="shared" ref="D18:D59" si="5">D17+G17-E17</f>
        <v>10625.330701721692</v>
      </c>
      <c r="E18" s="92">
        <f>SUM($G$9:G18)+H18</f>
        <v>3160.6033159364215</v>
      </c>
      <c r="F18" s="30">
        <f t="shared" si="0"/>
        <v>15</v>
      </c>
      <c r="G18" s="31">
        <f t="shared" si="2"/>
        <v>35.272614214731838</v>
      </c>
      <c r="H18" s="121">
        <f>H17*I17</f>
        <v>2500</v>
      </c>
      <c r="I18" s="118"/>
    </row>
    <row r="19" spans="2:9" x14ac:dyDescent="0.25">
      <c r="B19" s="39">
        <f t="shared" si="3"/>
        <v>45642</v>
      </c>
      <c r="C19" s="39">
        <f t="shared" si="1"/>
        <v>45657</v>
      </c>
      <c r="D19" s="4">
        <f t="shared" si="5"/>
        <v>7500.0000000000018</v>
      </c>
      <c r="E19" s="92"/>
      <c r="F19" s="30">
        <f t="shared" si="0"/>
        <v>16</v>
      </c>
      <c r="G19" s="31">
        <f t="shared" si="2"/>
        <v>26.557377049180332</v>
      </c>
      <c r="H19" s="121"/>
      <c r="I19" s="118"/>
    </row>
    <row r="20" spans="2:9" x14ac:dyDescent="0.25">
      <c r="B20" s="39">
        <f t="shared" si="3"/>
        <v>45658</v>
      </c>
      <c r="C20" s="39">
        <f t="shared" si="1"/>
        <v>45688</v>
      </c>
      <c r="D20" s="4">
        <f t="shared" si="5"/>
        <v>7526.5573770491819</v>
      </c>
      <c r="E20" s="92"/>
      <c r="F20" s="30">
        <f t="shared" si="0"/>
        <v>31</v>
      </c>
      <c r="G20" s="31">
        <f t="shared" si="2"/>
        <v>51.637119054017745</v>
      </c>
      <c r="H20" s="121"/>
      <c r="I20" s="118"/>
    </row>
    <row r="21" spans="2:9" x14ac:dyDescent="0.25">
      <c r="B21" s="39">
        <f t="shared" si="3"/>
        <v>45689</v>
      </c>
      <c r="C21" s="39">
        <f t="shared" si="1"/>
        <v>45716</v>
      </c>
      <c r="D21" s="4">
        <f t="shared" si="5"/>
        <v>7578.1944961031995</v>
      </c>
      <c r="E21" s="92"/>
      <c r="F21" s="30">
        <f t="shared" si="0"/>
        <v>28</v>
      </c>
      <c r="G21" s="31">
        <f t="shared" si="2"/>
        <v>46.959959336508341</v>
      </c>
      <c r="H21" s="121"/>
      <c r="I21" s="118"/>
    </row>
    <row r="22" spans="2:9" x14ac:dyDescent="0.25">
      <c r="B22" s="39">
        <f t="shared" si="3"/>
        <v>45717</v>
      </c>
      <c r="C22" s="39">
        <f t="shared" si="1"/>
        <v>45747</v>
      </c>
      <c r="D22" s="4">
        <f t="shared" si="5"/>
        <v>7625.1544554397078</v>
      </c>
      <c r="E22" s="92"/>
      <c r="F22" s="30">
        <f t="shared" si="0"/>
        <v>31</v>
      </c>
      <c r="G22" s="31">
        <f t="shared" si="2"/>
        <v>52.313559665598646</v>
      </c>
      <c r="H22" s="121"/>
      <c r="I22" s="118"/>
    </row>
    <row r="23" spans="2:9" x14ac:dyDescent="0.25">
      <c r="B23" s="39">
        <f t="shared" si="3"/>
        <v>45748</v>
      </c>
      <c r="C23" s="39">
        <f t="shared" si="1"/>
        <v>45777</v>
      </c>
      <c r="D23" s="4">
        <f t="shared" si="5"/>
        <v>7677.4680151053062</v>
      </c>
      <c r="E23" s="92"/>
      <c r="F23" s="30">
        <f t="shared" si="0"/>
        <v>30</v>
      </c>
      <c r="G23" s="31">
        <f t="shared" si="2"/>
        <v>50.973353215043417</v>
      </c>
      <c r="H23" s="121"/>
      <c r="I23" s="118"/>
    </row>
    <row r="24" spans="2:9" x14ac:dyDescent="0.25">
      <c r="B24" s="39">
        <f t="shared" si="3"/>
        <v>45778</v>
      </c>
      <c r="C24" s="39">
        <f t="shared" si="1"/>
        <v>45808</v>
      </c>
      <c r="D24" s="4">
        <f t="shared" si="5"/>
        <v>7728.4413683203493</v>
      </c>
      <c r="E24" s="92"/>
      <c r="F24" s="30">
        <f t="shared" si="0"/>
        <v>31</v>
      </c>
      <c r="G24" s="31">
        <f t="shared" si="2"/>
        <v>53.02217561708305</v>
      </c>
      <c r="H24" s="121"/>
      <c r="I24" s="118"/>
    </row>
    <row r="25" spans="2:9" x14ac:dyDescent="0.25">
      <c r="B25" s="39">
        <f t="shared" si="3"/>
        <v>45809</v>
      </c>
      <c r="C25" s="39">
        <f t="shared" si="1"/>
        <v>45838</v>
      </c>
      <c r="D25" s="4">
        <f t="shared" si="5"/>
        <v>7781.4635439374324</v>
      </c>
      <c r="E25" s="92"/>
      <c r="F25" s="30">
        <f t="shared" si="0"/>
        <v>30</v>
      </c>
      <c r="G25" s="31">
        <f t="shared" si="2"/>
        <v>51.663815332699336</v>
      </c>
      <c r="H25" s="121"/>
      <c r="I25" s="118"/>
    </row>
    <row r="26" spans="2:9" x14ac:dyDescent="0.25">
      <c r="B26" s="39">
        <f t="shared" si="3"/>
        <v>45839</v>
      </c>
      <c r="C26" s="39">
        <f t="shared" si="1"/>
        <v>45869</v>
      </c>
      <c r="D26" s="4">
        <f t="shared" si="5"/>
        <v>7833.1273592701318</v>
      </c>
      <c r="E26" s="92"/>
      <c r="F26" s="30">
        <f t="shared" si="0"/>
        <v>31</v>
      </c>
      <c r="G26" s="31">
        <f t="shared" si="2"/>
        <v>53.740390161549996</v>
      </c>
      <c r="H26" s="121"/>
      <c r="I26" s="118"/>
    </row>
    <row r="27" spans="2:9" x14ac:dyDescent="0.25">
      <c r="B27" s="39">
        <f t="shared" si="3"/>
        <v>45870</v>
      </c>
      <c r="C27" s="39">
        <f t="shared" si="1"/>
        <v>45900</v>
      </c>
      <c r="D27" s="4">
        <f t="shared" si="5"/>
        <v>7886.8677494316817</v>
      </c>
      <c r="E27" s="92"/>
      <c r="F27" s="30">
        <f t="shared" si="0"/>
        <v>31</v>
      </c>
      <c r="G27" s="31">
        <f t="shared" si="2"/>
        <v>54.109084477658335</v>
      </c>
      <c r="H27" s="121"/>
      <c r="I27" s="118"/>
    </row>
    <row r="28" spans="2:9" x14ac:dyDescent="0.25">
      <c r="B28" s="39">
        <f t="shared" si="3"/>
        <v>45901</v>
      </c>
      <c r="C28" s="39">
        <f t="shared" si="1"/>
        <v>45930</v>
      </c>
      <c r="D28" s="4">
        <f t="shared" si="5"/>
        <v>7940.9768339093398</v>
      </c>
      <c r="E28" s="92"/>
      <c r="F28" s="30">
        <f t="shared" si="0"/>
        <v>30</v>
      </c>
      <c r="G28" s="31">
        <f t="shared" si="2"/>
        <v>52.722878979234132</v>
      </c>
      <c r="H28" s="121"/>
      <c r="I28" s="118"/>
    </row>
    <row r="29" spans="2:9" x14ac:dyDescent="0.25">
      <c r="B29" s="39">
        <f t="shared" si="3"/>
        <v>45931</v>
      </c>
      <c r="C29" s="39">
        <f t="shared" si="1"/>
        <v>45961</v>
      </c>
      <c r="D29" s="4">
        <f t="shared" si="5"/>
        <v>7993.6997128885741</v>
      </c>
      <c r="E29" s="92"/>
      <c r="F29" s="30">
        <f t="shared" si="0"/>
        <v>31</v>
      </c>
      <c r="G29" s="31">
        <f t="shared" si="2"/>
        <v>54.842021800719145</v>
      </c>
      <c r="H29" s="121"/>
      <c r="I29" s="118"/>
    </row>
    <row r="30" spans="2:9" x14ac:dyDescent="0.25">
      <c r="B30" s="39">
        <f t="shared" si="3"/>
        <v>45962</v>
      </c>
      <c r="C30" s="39">
        <f t="shared" si="1"/>
        <v>45991</v>
      </c>
      <c r="D30" s="4">
        <f t="shared" si="5"/>
        <v>8048.5417346892937</v>
      </c>
      <c r="E30" s="92"/>
      <c r="F30" s="30">
        <f t="shared" si="0"/>
        <v>30</v>
      </c>
      <c r="G30" s="31">
        <f t="shared" si="2"/>
        <v>53.437039386051858</v>
      </c>
      <c r="H30" s="121">
        <f>H17-H18</f>
        <v>7500</v>
      </c>
      <c r="I30" s="118">
        <v>0.33329999999999999</v>
      </c>
    </row>
    <row r="31" spans="2:9" x14ac:dyDescent="0.25">
      <c r="B31" s="39">
        <f t="shared" si="3"/>
        <v>45992</v>
      </c>
      <c r="C31" s="39" t="str">
        <f t="shared" si="1"/>
        <v>December 15, 2025</v>
      </c>
      <c r="D31" s="4">
        <f t="shared" si="5"/>
        <v>8101.9787740753454</v>
      </c>
      <c r="E31" s="92">
        <f>SUM(G19:G31)+H31</f>
        <v>3128.6246872187912</v>
      </c>
      <c r="F31" s="30">
        <f t="shared" si="0"/>
        <v>15</v>
      </c>
      <c r="G31" s="31">
        <f t="shared" si="2"/>
        <v>26.895913143446837</v>
      </c>
      <c r="H31" s="121">
        <f>H30*I30</f>
        <v>2499.75</v>
      </c>
      <c r="I31" s="118"/>
    </row>
    <row r="32" spans="2:9" x14ac:dyDescent="0.25">
      <c r="B32" s="39">
        <f t="shared" si="3"/>
        <v>46007</v>
      </c>
      <c r="C32" s="39">
        <f t="shared" si="1"/>
        <v>46022</v>
      </c>
      <c r="D32" s="4">
        <f t="shared" si="5"/>
        <v>5000.2500000000009</v>
      </c>
      <c r="E32" s="92"/>
      <c r="F32" s="30">
        <f t="shared" si="0"/>
        <v>16</v>
      </c>
      <c r="G32" s="31">
        <f t="shared" si="2"/>
        <v>17.705803278688524</v>
      </c>
      <c r="H32" s="121"/>
      <c r="I32" s="118"/>
    </row>
    <row r="33" spans="2:9" x14ac:dyDescent="0.25">
      <c r="B33" s="39">
        <f t="shared" si="3"/>
        <v>46023</v>
      </c>
      <c r="C33" s="39">
        <f t="shared" si="1"/>
        <v>46053</v>
      </c>
      <c r="D33" s="4">
        <f t="shared" si="5"/>
        <v>5017.955803278689</v>
      </c>
      <c r="E33" s="92"/>
      <c r="F33" s="30">
        <f t="shared" si="0"/>
        <v>31</v>
      </c>
      <c r="G33" s="31">
        <f t="shared" si="2"/>
        <v>34.426467273313627</v>
      </c>
      <c r="H33" s="121"/>
      <c r="I33" s="118"/>
    </row>
    <row r="34" spans="2:9" x14ac:dyDescent="0.25">
      <c r="B34" s="39">
        <f t="shared" si="3"/>
        <v>46054</v>
      </c>
      <c r="C34" s="39">
        <f t="shared" si="1"/>
        <v>46081</v>
      </c>
      <c r="D34" s="4">
        <f t="shared" si="5"/>
        <v>5052.3822705520024</v>
      </c>
      <c r="E34" s="92"/>
      <c r="F34" s="30">
        <f t="shared" si="0"/>
        <v>28</v>
      </c>
      <c r="G34" s="31">
        <f t="shared" si="2"/>
        <v>31.308204889650106</v>
      </c>
      <c r="H34" s="121"/>
      <c r="I34" s="118"/>
    </row>
    <row r="35" spans="2:9" x14ac:dyDescent="0.25">
      <c r="B35" s="39">
        <f t="shared" si="3"/>
        <v>46082</v>
      </c>
      <c r="C35" s="39">
        <f t="shared" si="1"/>
        <v>46112</v>
      </c>
      <c r="D35" s="4">
        <f t="shared" si="5"/>
        <v>5083.6904754416528</v>
      </c>
      <c r="E35" s="92"/>
      <c r="F35" s="30">
        <f t="shared" si="0"/>
        <v>31</v>
      </c>
      <c r="G35" s="31">
        <f t="shared" si="2"/>
        <v>34.877450229054617</v>
      </c>
      <c r="H35" s="121"/>
      <c r="I35" s="118"/>
    </row>
    <row r="36" spans="2:9" x14ac:dyDescent="0.25">
      <c r="B36" s="39">
        <f t="shared" si="3"/>
        <v>46113</v>
      </c>
      <c r="C36" s="39">
        <f t="shared" si="1"/>
        <v>46142</v>
      </c>
      <c r="D36" s="4">
        <f t="shared" si="5"/>
        <v>5118.5679256707072</v>
      </c>
      <c r="E36" s="92"/>
      <c r="F36" s="30">
        <f t="shared" si="0"/>
        <v>30</v>
      </c>
      <c r="G36" s="31">
        <f t="shared" si="2"/>
        <v>33.983934588469445</v>
      </c>
      <c r="H36" s="121"/>
      <c r="I36" s="118"/>
    </row>
    <row r="37" spans="2:9" x14ac:dyDescent="0.25">
      <c r="B37" s="39">
        <f t="shared" si="3"/>
        <v>46143</v>
      </c>
      <c r="C37" s="39">
        <f t="shared" si="1"/>
        <v>46173</v>
      </c>
      <c r="D37" s="4">
        <f t="shared" si="5"/>
        <v>5152.5518602591765</v>
      </c>
      <c r="E37" s="92"/>
      <c r="F37" s="30">
        <f t="shared" si="0"/>
        <v>31</v>
      </c>
      <c r="G37" s="31">
        <f t="shared" si="2"/>
        <v>35.349884483909264</v>
      </c>
      <c r="H37" s="121"/>
      <c r="I37" s="118"/>
    </row>
    <row r="38" spans="2:9" x14ac:dyDescent="0.25">
      <c r="B38" s="39">
        <f t="shared" si="3"/>
        <v>46174</v>
      </c>
      <c r="C38" s="39">
        <f t="shared" si="1"/>
        <v>46203</v>
      </c>
      <c r="D38" s="4">
        <f t="shared" si="5"/>
        <v>5187.9017447430861</v>
      </c>
      <c r="E38" s="92"/>
      <c r="F38" s="30">
        <f t="shared" si="0"/>
        <v>30</v>
      </c>
      <c r="G38" s="31">
        <f t="shared" si="2"/>
        <v>34.44426568231065</v>
      </c>
      <c r="H38" s="121"/>
      <c r="I38" s="118"/>
    </row>
    <row r="39" spans="2:9" x14ac:dyDescent="0.25">
      <c r="B39" s="39">
        <f t="shared" si="3"/>
        <v>46204</v>
      </c>
      <c r="C39" s="39">
        <f t="shared" si="1"/>
        <v>46234</v>
      </c>
      <c r="D39" s="4">
        <f t="shared" si="5"/>
        <v>5222.3460104253963</v>
      </c>
      <c r="E39" s="92"/>
      <c r="F39" s="30">
        <f t="shared" si="0"/>
        <v>31</v>
      </c>
      <c r="G39" s="31">
        <f t="shared" si="2"/>
        <v>35.828718120705382</v>
      </c>
      <c r="H39" s="121"/>
      <c r="I39" s="118"/>
    </row>
    <row r="40" spans="2:9" x14ac:dyDescent="0.25">
      <c r="B40" s="39">
        <f t="shared" si="3"/>
        <v>46235</v>
      </c>
      <c r="C40" s="39">
        <f t="shared" si="1"/>
        <v>46265</v>
      </c>
      <c r="D40" s="4">
        <f t="shared" si="5"/>
        <v>5258.1747285461015</v>
      </c>
      <c r="E40" s="92"/>
      <c r="F40" s="30">
        <f t="shared" si="0"/>
        <v>31</v>
      </c>
      <c r="G40" s="31">
        <f t="shared" si="2"/>
        <v>36.074526621254805</v>
      </c>
      <c r="H40" s="121"/>
      <c r="I40" s="118"/>
    </row>
    <row r="41" spans="2:9" x14ac:dyDescent="0.25">
      <c r="B41" s="39">
        <f t="shared" si="3"/>
        <v>46266</v>
      </c>
      <c r="C41" s="39">
        <f t="shared" si="1"/>
        <v>46295</v>
      </c>
      <c r="D41" s="4">
        <f t="shared" si="5"/>
        <v>5294.2492551673568</v>
      </c>
      <c r="E41" s="92"/>
      <c r="F41" s="30">
        <f t="shared" si="0"/>
        <v>30</v>
      </c>
      <c r="G41" s="31">
        <f t="shared" si="2"/>
        <v>35.150343415455396</v>
      </c>
      <c r="H41" s="121"/>
      <c r="I41" s="118"/>
    </row>
    <row r="42" spans="2:9" x14ac:dyDescent="0.25">
      <c r="B42" s="39">
        <f t="shared" si="3"/>
        <v>46296</v>
      </c>
      <c r="C42" s="39">
        <f t="shared" si="1"/>
        <v>46326</v>
      </c>
      <c r="D42" s="4">
        <f t="shared" si="5"/>
        <v>5329.3995985828124</v>
      </c>
      <c r="E42" s="92"/>
      <c r="F42" s="30">
        <f t="shared" si="0"/>
        <v>31</v>
      </c>
      <c r="G42" s="31">
        <f t="shared" si="2"/>
        <v>36.563175934539451</v>
      </c>
      <c r="H42" s="121"/>
      <c r="I42" s="118"/>
    </row>
    <row r="43" spans="2:9" x14ac:dyDescent="0.25">
      <c r="B43" s="39">
        <f t="shared" si="3"/>
        <v>46327</v>
      </c>
      <c r="C43" s="39">
        <f t="shared" si="1"/>
        <v>46356</v>
      </c>
      <c r="D43" s="4">
        <f t="shared" si="5"/>
        <v>5365.962774517352</v>
      </c>
      <c r="E43" s="92"/>
      <c r="F43" s="30">
        <f t="shared" si="0"/>
        <v>30</v>
      </c>
      <c r="G43" s="31">
        <f t="shared" si="2"/>
        <v>35.626474158680772</v>
      </c>
      <c r="H43" s="121">
        <f>H30-H31</f>
        <v>5000.25</v>
      </c>
      <c r="I43" s="118">
        <v>0.5</v>
      </c>
    </row>
    <row r="44" spans="2:9" x14ac:dyDescent="0.25">
      <c r="B44" s="39">
        <f t="shared" si="3"/>
        <v>46357</v>
      </c>
      <c r="C44" s="39" t="str">
        <f t="shared" si="1"/>
        <v>December 15, 2026</v>
      </c>
      <c r="D44" s="4">
        <f t="shared" si="5"/>
        <v>5401.5892486760331</v>
      </c>
      <c r="E44" s="92">
        <f>SUM(G32:G44)+H44</f>
        <v>2919.3957539687681</v>
      </c>
      <c r="F44" s="30">
        <f t="shared" si="0"/>
        <v>15</v>
      </c>
      <c r="G44" s="31">
        <f t="shared" si="2"/>
        <v>17.931505292736009</v>
      </c>
      <c r="H44" s="121">
        <f>H43*I43</f>
        <v>2500.125</v>
      </c>
      <c r="I44" s="118"/>
    </row>
    <row r="45" spans="2:9" x14ac:dyDescent="0.25">
      <c r="B45" s="39">
        <f t="shared" si="3"/>
        <v>46372</v>
      </c>
      <c r="C45" s="39">
        <f t="shared" si="1"/>
        <v>46387</v>
      </c>
      <c r="D45" s="4">
        <f t="shared" si="5"/>
        <v>2500.1250000000009</v>
      </c>
      <c r="E45" s="92"/>
      <c r="F45" s="30">
        <f t="shared" si="0"/>
        <v>16</v>
      </c>
      <c r="G45" s="31">
        <f t="shared" si="2"/>
        <v>8.8529016393442639</v>
      </c>
      <c r="H45" s="121"/>
      <c r="I45" s="118"/>
    </row>
    <row r="46" spans="2:9" x14ac:dyDescent="0.25">
      <c r="B46" s="39">
        <f t="shared" si="3"/>
        <v>46388</v>
      </c>
      <c r="C46" s="39">
        <f t="shared" si="1"/>
        <v>46418</v>
      </c>
      <c r="D46" s="4">
        <f t="shared" si="5"/>
        <v>2508.977901639345</v>
      </c>
      <c r="E46" s="92"/>
      <c r="F46" s="30">
        <f t="shared" si="0"/>
        <v>31</v>
      </c>
      <c r="G46" s="31">
        <f t="shared" si="2"/>
        <v>17.213233636656817</v>
      </c>
      <c r="H46" s="121"/>
      <c r="I46" s="118"/>
    </row>
    <row r="47" spans="2:9" x14ac:dyDescent="0.25">
      <c r="B47" s="39">
        <f t="shared" si="3"/>
        <v>46419</v>
      </c>
      <c r="C47" s="39">
        <f t="shared" si="1"/>
        <v>46446</v>
      </c>
      <c r="D47" s="4">
        <f t="shared" si="5"/>
        <v>2526.1911352760017</v>
      </c>
      <c r="E47" s="92"/>
      <c r="F47" s="30">
        <f t="shared" si="0"/>
        <v>28</v>
      </c>
      <c r="G47" s="31">
        <f t="shared" si="2"/>
        <v>15.654102444825057</v>
      </c>
      <c r="H47" s="121"/>
      <c r="I47" s="118"/>
    </row>
    <row r="48" spans="2:9" x14ac:dyDescent="0.25">
      <c r="B48" s="39">
        <f t="shared" si="3"/>
        <v>46447</v>
      </c>
      <c r="C48" s="39">
        <f t="shared" si="1"/>
        <v>46477</v>
      </c>
      <c r="D48" s="4">
        <f t="shared" si="5"/>
        <v>2541.8452377208268</v>
      </c>
      <c r="E48" s="92"/>
      <c r="F48" s="30">
        <f t="shared" si="0"/>
        <v>31</v>
      </c>
      <c r="G48" s="31">
        <f t="shared" si="2"/>
        <v>17.438725114527312</v>
      </c>
      <c r="H48" s="121"/>
      <c r="I48" s="118"/>
    </row>
    <row r="49" spans="2:9" x14ac:dyDescent="0.25">
      <c r="B49" s="39">
        <f t="shared" si="3"/>
        <v>46478</v>
      </c>
      <c r="C49" s="39">
        <f>B49+14</f>
        <v>46492</v>
      </c>
      <c r="D49" s="4">
        <f t="shared" si="5"/>
        <v>2559.283962835354</v>
      </c>
      <c r="E49" s="92"/>
      <c r="F49" s="30">
        <f t="shared" si="0"/>
        <v>15</v>
      </c>
      <c r="G49" s="31">
        <f t="shared" si="2"/>
        <v>8.4959836471173631</v>
      </c>
      <c r="H49" s="121"/>
      <c r="I49" s="118"/>
    </row>
    <row r="50" spans="2:9" x14ac:dyDescent="0.25">
      <c r="B50" s="39">
        <f t="shared" ref="B50:B51" si="6">C49+1</f>
        <v>46493</v>
      </c>
      <c r="C50" s="39">
        <f>EOMONTH(B50,0)</f>
        <v>46507</v>
      </c>
      <c r="D50" s="4">
        <f t="shared" si="5"/>
        <v>2567.7799464824716</v>
      </c>
      <c r="E50" s="92"/>
      <c r="F50" s="30">
        <f t="shared" si="0"/>
        <v>15</v>
      </c>
      <c r="G50" s="31">
        <f t="shared" si="2"/>
        <v>8.5241875272573839</v>
      </c>
      <c r="H50" s="121"/>
      <c r="I50" s="118"/>
    </row>
    <row r="51" spans="2:9" x14ac:dyDescent="0.25">
      <c r="B51" s="39">
        <f t="shared" si="6"/>
        <v>46508</v>
      </c>
      <c r="C51" s="39">
        <f>EOMONTH(B51,0)</f>
        <v>46538</v>
      </c>
      <c r="D51" s="4">
        <f t="shared" si="5"/>
        <v>2576.3041340097288</v>
      </c>
      <c r="E51" s="92"/>
      <c r="F51" s="30">
        <f t="shared" si="0"/>
        <v>31</v>
      </c>
      <c r="G51" s="31">
        <f t="shared" si="2"/>
        <v>17.675135739066743</v>
      </c>
      <c r="H51" s="121"/>
      <c r="I51" s="118"/>
    </row>
    <row r="52" spans="2:9" x14ac:dyDescent="0.25">
      <c r="B52" s="39">
        <f t="shared" ref="B52:B59" si="7">C51+1</f>
        <v>46539</v>
      </c>
      <c r="C52" s="39">
        <f t="shared" ref="C52:C57" si="8">EOMONTH(B52,0)</f>
        <v>46568</v>
      </c>
      <c r="D52" s="4">
        <f t="shared" si="5"/>
        <v>2593.9792697487956</v>
      </c>
      <c r="E52" s="92"/>
      <c r="F52" s="30">
        <f t="shared" si="0"/>
        <v>30</v>
      </c>
      <c r="G52" s="31">
        <f t="shared" si="2"/>
        <v>17.222321381119048</v>
      </c>
      <c r="H52" s="121"/>
      <c r="I52" s="118"/>
    </row>
    <row r="53" spans="2:9" x14ac:dyDescent="0.25">
      <c r="B53" s="39">
        <f t="shared" si="7"/>
        <v>46569</v>
      </c>
      <c r="C53" s="39">
        <f t="shared" si="8"/>
        <v>46599</v>
      </c>
      <c r="D53" s="4">
        <f t="shared" si="5"/>
        <v>2611.2015911299145</v>
      </c>
      <c r="E53" s="92"/>
      <c r="F53" s="30">
        <f t="shared" si="0"/>
        <v>31</v>
      </c>
      <c r="G53" s="31">
        <f t="shared" si="2"/>
        <v>17.914555178489657</v>
      </c>
      <c r="H53" s="121"/>
      <c r="I53" s="118"/>
    </row>
    <row r="54" spans="2:9" x14ac:dyDescent="0.25">
      <c r="B54" s="39">
        <f t="shared" si="7"/>
        <v>46600</v>
      </c>
      <c r="C54" s="39">
        <f t="shared" si="8"/>
        <v>46630</v>
      </c>
      <c r="D54" s="4">
        <f t="shared" si="5"/>
        <v>2629.116146308404</v>
      </c>
      <c r="E54" s="92"/>
      <c r="F54" s="30">
        <f t="shared" si="0"/>
        <v>31</v>
      </c>
      <c r="G54" s="31">
        <f t="shared" si="2"/>
        <v>18.037460774263394</v>
      </c>
      <c r="H54" s="121"/>
      <c r="I54" s="118"/>
    </row>
    <row r="55" spans="2:9" x14ac:dyDescent="0.25">
      <c r="B55" s="39">
        <f t="shared" si="7"/>
        <v>46631</v>
      </c>
      <c r="C55" s="39">
        <f t="shared" si="8"/>
        <v>46660</v>
      </c>
      <c r="D55" s="4">
        <f t="shared" si="5"/>
        <v>2647.1536070826673</v>
      </c>
      <c r="E55" s="92"/>
      <c r="F55" s="30">
        <f t="shared" si="0"/>
        <v>30</v>
      </c>
      <c r="G55" s="31">
        <f t="shared" si="2"/>
        <v>17.575364112598034</v>
      </c>
      <c r="H55" s="121"/>
      <c r="I55" s="118"/>
    </row>
    <row r="56" spans="2:9" x14ac:dyDescent="0.25">
      <c r="B56" s="39">
        <f t="shared" si="7"/>
        <v>46661</v>
      </c>
      <c r="C56" s="39">
        <f t="shared" si="8"/>
        <v>46691</v>
      </c>
      <c r="D56" s="4">
        <f t="shared" si="5"/>
        <v>2664.7289711952653</v>
      </c>
      <c r="E56" s="92"/>
      <c r="F56" s="30">
        <f t="shared" si="0"/>
        <v>31</v>
      </c>
      <c r="G56" s="31">
        <f t="shared" si="2"/>
        <v>18.28178810565932</v>
      </c>
      <c r="H56" s="54"/>
      <c r="I56" s="119"/>
    </row>
    <row r="57" spans="2:9" x14ac:dyDescent="0.25">
      <c r="B57" s="39">
        <f t="shared" si="7"/>
        <v>46692</v>
      </c>
      <c r="C57" s="39">
        <f t="shared" si="8"/>
        <v>46721</v>
      </c>
      <c r="D57" s="4">
        <f t="shared" si="5"/>
        <v>2683.0107593009247</v>
      </c>
      <c r="E57" s="92"/>
      <c r="F57" s="30">
        <f t="shared" si="0"/>
        <v>30</v>
      </c>
      <c r="G57" s="31">
        <f t="shared" si="2"/>
        <v>17.813432090440564</v>
      </c>
      <c r="H57" s="121">
        <f>H43-H44</f>
        <v>2500.125</v>
      </c>
      <c r="I57" s="118">
        <v>1</v>
      </c>
    </row>
    <row r="58" spans="2:9" x14ac:dyDescent="0.25">
      <c r="B58" s="39">
        <f t="shared" si="7"/>
        <v>46722</v>
      </c>
      <c r="C58" s="39">
        <f>B58+14</f>
        <v>46736</v>
      </c>
      <c r="D58" s="4">
        <f t="shared" si="5"/>
        <v>2700.8241913913653</v>
      </c>
      <c r="E58" s="92">
        <f>SUM(G45:G58)+H58</f>
        <v>2709.7900421906561</v>
      </c>
      <c r="F58" s="30">
        <f t="shared" si="0"/>
        <v>15</v>
      </c>
      <c r="G58" s="31">
        <f t="shared" si="2"/>
        <v>8.9658507992910064</v>
      </c>
      <c r="H58" s="121">
        <f>H57*I57</f>
        <v>2500.125</v>
      </c>
      <c r="I58" s="118"/>
    </row>
    <row r="59" spans="2:9" x14ac:dyDescent="0.25">
      <c r="B59" s="39">
        <f t="shared" si="7"/>
        <v>46737</v>
      </c>
      <c r="C59" s="39">
        <f>B59</f>
        <v>46737</v>
      </c>
      <c r="D59" s="4">
        <f t="shared" si="5"/>
        <v>0</v>
      </c>
      <c r="E59" s="92"/>
      <c r="F59" s="30"/>
      <c r="G59" s="31">
        <f t="shared" si="2"/>
        <v>0</v>
      </c>
      <c r="H59" s="121"/>
      <c r="I59" s="118"/>
    </row>
    <row r="60" spans="2:9" x14ac:dyDescent="0.25">
      <c r="B60" s="39"/>
      <c r="C60" s="39"/>
      <c r="D60" s="4"/>
      <c r="E60" s="94"/>
      <c r="F60" s="30"/>
      <c r="G60" s="31"/>
      <c r="H60" s="121"/>
      <c r="I60" s="118"/>
    </row>
    <row r="61" spans="2:9" s="32" customFormat="1" x14ac:dyDescent="0.25">
      <c r="B61" s="112" t="s">
        <v>44</v>
      </c>
      <c r="C61" s="112"/>
      <c r="D61" s="17"/>
      <c r="E61" s="94"/>
      <c r="F61" s="34"/>
      <c r="G61" s="31">
        <f>SUM(G9:G60)</f>
        <v>1918.4137993146369</v>
      </c>
      <c r="H61" s="121"/>
      <c r="I61" s="118"/>
    </row>
    <row r="63" spans="2:9" x14ac:dyDescent="0.25">
      <c r="B63" s="22" t="s">
        <v>12</v>
      </c>
      <c r="C63" s="36">
        <f>SUM(F9:F60)</f>
        <v>1385</v>
      </c>
      <c r="D63" s="37">
        <f>C63/366</f>
        <v>3.7841530054644807</v>
      </c>
      <c r="E63" s="37">
        <f>D39*12</f>
        <v>62668.152125104752</v>
      </c>
    </row>
    <row r="64" spans="2:9" x14ac:dyDescent="0.25">
      <c r="B64" s="22" t="s">
        <v>13</v>
      </c>
      <c r="C64" s="79">
        <f>SUM(G9:G60)</f>
        <v>1918.4137993146369</v>
      </c>
    </row>
    <row r="65" spans="2:6" x14ac:dyDescent="0.25">
      <c r="B65" s="22" t="s">
        <v>16</v>
      </c>
      <c r="C65" s="24">
        <f>C64+C5</f>
        <v>11918.413799314636</v>
      </c>
    </row>
    <row r="66" spans="2:6" x14ac:dyDescent="0.25">
      <c r="B66" s="22" t="s">
        <v>17</v>
      </c>
      <c r="C66" s="25">
        <f>EFFECT(F5,E63)</f>
        <v>8.4370839803040054E-2</v>
      </c>
    </row>
    <row r="67" spans="2:6" ht="15.75" thickBot="1" x14ac:dyDescent="0.3">
      <c r="C67" s="37"/>
    </row>
    <row r="68" spans="2:6" x14ac:dyDescent="0.25">
      <c r="B68" s="63" t="s">
        <v>20</v>
      </c>
      <c r="C68" s="88">
        <f>C5</f>
        <v>10000</v>
      </c>
      <c r="D68" s="64"/>
      <c r="E68" s="90" t="s">
        <v>23</v>
      </c>
      <c r="F68" s="91">
        <f>SUM(G9:G60)</f>
        <v>1918.4137993146369</v>
      </c>
    </row>
    <row r="69" spans="2:6" x14ac:dyDescent="0.25">
      <c r="B69" s="43"/>
      <c r="E69" s="87"/>
      <c r="F69" s="45"/>
    </row>
    <row r="70" spans="2:6" ht="15.75" thickBot="1" x14ac:dyDescent="0.3">
      <c r="B70" s="43" t="s">
        <v>21</v>
      </c>
      <c r="C70" s="86">
        <f>H18+H31+H44+H58</f>
        <v>10000</v>
      </c>
      <c r="E70" s="87" t="s">
        <v>24</v>
      </c>
      <c r="F70" s="46">
        <f>(E18-H18)+(E31-H31)+(E44-H44)+(E58-H58)</f>
        <v>1918.4137993146369</v>
      </c>
    </row>
    <row r="71" spans="2:6" ht="15.75" thickTop="1" x14ac:dyDescent="0.25">
      <c r="B71" s="43"/>
      <c r="F71" s="45"/>
    </row>
    <row r="72" spans="2:6" x14ac:dyDescent="0.25">
      <c r="B72" s="43" t="s">
        <v>22</v>
      </c>
      <c r="C72" s="47">
        <f>C68-C70</f>
        <v>0</v>
      </c>
      <c r="E72" s="87" t="s">
        <v>25</v>
      </c>
      <c r="F72" s="44">
        <f>F68-F70</f>
        <v>0</v>
      </c>
    </row>
    <row r="73" spans="2:6" ht="15.75" thickBot="1" x14ac:dyDescent="0.3">
      <c r="B73" s="48"/>
      <c r="C73" s="49"/>
      <c r="D73" s="49"/>
      <c r="E73" s="49"/>
      <c r="F73" s="50"/>
    </row>
  </sheetData>
  <pageMargins left="0.7" right="0.7" top="0.75" bottom="0.75" header="0.3" footer="0.3"/>
  <pageSetup scale="64" fitToWidth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A7A79-4095-4CB3-A69B-3CC8360BA2B2}">
  <sheetPr>
    <tabColor rgb="FF00B050"/>
    <pageSetUpPr fitToPage="1"/>
  </sheetPr>
  <dimension ref="A1:P28"/>
  <sheetViews>
    <sheetView zoomScaleNormal="100" workbookViewId="0">
      <selection activeCell="M22" sqref="M22"/>
    </sheetView>
  </sheetViews>
  <sheetFormatPr defaultColWidth="9.140625" defaultRowHeight="15" x14ac:dyDescent="0.25"/>
  <cols>
    <col min="1" max="1" width="3" style="22" bestFit="1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0.5703125" style="22" customWidth="1"/>
    <col min="9" max="9" width="16.42578125" style="70" customWidth="1"/>
    <col min="10" max="10" width="10.7109375" style="22" bestFit="1" customWidth="1"/>
    <col min="11" max="11" width="15.5703125" style="22" hidden="1" customWidth="1"/>
    <col min="12" max="12" width="9.140625" style="22" hidden="1" customWidth="1"/>
    <col min="13" max="14" width="10.7109375" style="22" bestFit="1" customWidth="1"/>
    <col min="15" max="16384" width="9.140625" style="22"/>
  </cols>
  <sheetData>
    <row r="1" spans="1:16" ht="23.25" x14ac:dyDescent="0.35">
      <c r="A1" s="21"/>
      <c r="B1" s="113" t="s">
        <v>0</v>
      </c>
      <c r="C1" s="113"/>
      <c r="D1" s="113"/>
      <c r="E1" s="113"/>
      <c r="F1" s="113"/>
      <c r="G1" s="113"/>
      <c r="H1" s="113"/>
      <c r="I1" s="117"/>
    </row>
    <row r="2" spans="1:16" ht="23.25" x14ac:dyDescent="0.35">
      <c r="A2" s="21"/>
      <c r="B2" s="113" t="s">
        <v>30</v>
      </c>
      <c r="C2" s="113"/>
      <c r="D2" s="113"/>
      <c r="E2" s="113"/>
      <c r="F2" s="113"/>
      <c r="G2" s="113"/>
      <c r="H2" s="113"/>
      <c r="I2" s="117"/>
      <c r="K2" s="47">
        <f>$C$5*L2</f>
        <v>0</v>
      </c>
      <c r="L2" s="83">
        <v>0</v>
      </c>
    </row>
    <row r="3" spans="1:16" x14ac:dyDescent="0.25">
      <c r="K3" s="47">
        <f t="shared" ref="K3" si="0">$C$5*L3</f>
        <v>2000</v>
      </c>
      <c r="L3" s="83">
        <v>0.2</v>
      </c>
    </row>
    <row r="4" spans="1:16" s="18" customFormat="1" x14ac:dyDescent="0.25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  <c r="I4" s="108"/>
      <c r="K4" s="47">
        <f>($C$5-$K$3)*L4</f>
        <v>2000</v>
      </c>
      <c r="L4" s="83">
        <v>0.25</v>
      </c>
      <c r="M4" s="22"/>
      <c r="N4" s="22"/>
      <c r="O4" s="22"/>
      <c r="P4" s="22"/>
    </row>
    <row r="5" spans="1:16" x14ac:dyDescent="0.25">
      <c r="B5" s="72">
        <v>45231</v>
      </c>
      <c r="C5" s="20">
        <v>10000</v>
      </c>
      <c r="D5" s="24">
        <f>C5/5</f>
        <v>2000</v>
      </c>
      <c r="E5" s="25">
        <v>7.1999999999999995E-2</v>
      </c>
      <c r="F5" s="25">
        <f>E5+0.009</f>
        <v>8.0999999999999989E-2</v>
      </c>
      <c r="G5" s="25">
        <f>F5/365</f>
        <v>2.2191780821917805E-4</v>
      </c>
      <c r="K5" s="47">
        <f>($C$5-($K$3+$K$4))*L5</f>
        <v>1999.9999999980002</v>
      </c>
      <c r="L5" s="83">
        <v>0.33333333333300003</v>
      </c>
    </row>
    <row r="6" spans="1:16" x14ac:dyDescent="0.25">
      <c r="B6" s="32" t="s">
        <v>41</v>
      </c>
      <c r="C6" s="79"/>
      <c r="D6" s="24"/>
      <c r="E6" s="25"/>
      <c r="F6" s="25"/>
      <c r="G6" s="25"/>
      <c r="K6" s="47">
        <f>($C$5-($K$3+$K$4+$K$5))*L6</f>
        <v>2000.000000001</v>
      </c>
      <c r="L6" s="83">
        <v>0.5</v>
      </c>
    </row>
    <row r="7" spans="1:16" x14ac:dyDescent="0.25">
      <c r="C7" s="26"/>
      <c r="E7" s="93"/>
      <c r="F7" s="67"/>
      <c r="G7" s="25"/>
      <c r="K7" s="47">
        <f>($C$5-($K$3+$K$4+$K$5+$K$6))*L7</f>
        <v>2000.0000000010004</v>
      </c>
      <c r="L7" s="95">
        <v>1</v>
      </c>
    </row>
    <row r="8" spans="1:16" s="18" customFormat="1" x14ac:dyDescent="0.25">
      <c r="B8" s="84" t="s">
        <v>3</v>
      </c>
      <c r="C8" s="84" t="s">
        <v>4</v>
      </c>
      <c r="D8" s="27" t="s">
        <v>5</v>
      </c>
      <c r="E8" s="27" t="s">
        <v>8</v>
      </c>
      <c r="F8" s="27" t="s">
        <v>6</v>
      </c>
      <c r="G8" s="28" t="s">
        <v>9</v>
      </c>
      <c r="H8" s="102" t="s">
        <v>42</v>
      </c>
      <c r="I8" s="109" t="s">
        <v>19</v>
      </c>
      <c r="M8" s="22"/>
      <c r="N8" s="22"/>
      <c r="O8" s="22"/>
      <c r="P8" s="22"/>
    </row>
    <row r="9" spans="1:16" x14ac:dyDescent="0.25">
      <c r="B9" s="39">
        <f>B5</f>
        <v>45231</v>
      </c>
      <c r="C9" s="39">
        <f>EOMONTH(B9,0)</f>
        <v>45260</v>
      </c>
      <c r="D9" s="4">
        <f>C5</f>
        <v>10000</v>
      </c>
      <c r="E9" s="92"/>
      <c r="F9" s="30">
        <f t="shared" ref="F9:F10" si="1">C9-B9+1</f>
        <v>30</v>
      </c>
      <c r="G9" s="31">
        <f>$G$5*F9*D9</f>
        <v>66.575342465753408</v>
      </c>
      <c r="H9" s="54"/>
      <c r="I9" s="118"/>
    </row>
    <row r="10" spans="1:16" x14ac:dyDescent="0.25">
      <c r="B10" s="39">
        <f>C9+1</f>
        <v>45261</v>
      </c>
      <c r="C10" s="39" t="str">
        <f t="shared" ref="C10" si="2">IF(B10=44896,"December 15, 2022",IF(B10=45261,"December 15, 2023",IF(B10=45627,"December 15, 2024",IF(B10=45992,"December 15, 2025",IF(B10=46357,"December 15, 2026",IF(B10=46722,"December 15, 2027",IF(B10=47088,"December 15, 2028",IF(B10=47453,"December 15, 2029",IF(B10=47818,"December 15, 2030",IF(B10=48183,"December 15, 2031",EOMONTH(B10,0)))))))))))</f>
        <v>December 15, 2023</v>
      </c>
      <c r="D10" s="4">
        <f>D9+G9-E9</f>
        <v>10066.575342465754</v>
      </c>
      <c r="E10" s="96">
        <f>SUM(G9:G10)+H11</f>
        <v>10100.084627509852</v>
      </c>
      <c r="F10" s="30">
        <f t="shared" si="1"/>
        <v>15</v>
      </c>
      <c r="G10" s="31">
        <f t="shared" ref="G10:G11" si="3">$G$5*F10*D10</f>
        <v>33.509285044098327</v>
      </c>
      <c r="H10" s="121">
        <f>$C$5</f>
        <v>10000</v>
      </c>
      <c r="I10" s="118">
        <v>1</v>
      </c>
    </row>
    <row r="11" spans="1:16" x14ac:dyDescent="0.25">
      <c r="B11" s="39">
        <f>C10+1</f>
        <v>45276</v>
      </c>
      <c r="C11" s="39">
        <f>B11</f>
        <v>45276</v>
      </c>
      <c r="D11" s="4">
        <f>D10+G10-E10</f>
        <v>0</v>
      </c>
      <c r="E11" s="96"/>
      <c r="F11" s="30"/>
      <c r="G11" s="31">
        <f t="shared" si="3"/>
        <v>0</v>
      </c>
      <c r="H11" s="121">
        <f>H10*I10</f>
        <v>10000</v>
      </c>
      <c r="I11" s="118"/>
    </row>
    <row r="12" spans="1:16" x14ac:dyDescent="0.25">
      <c r="B12" s="39"/>
      <c r="C12" s="39"/>
      <c r="D12" s="4"/>
      <c r="E12" s="96"/>
      <c r="F12" s="30"/>
      <c r="G12" s="31"/>
      <c r="H12" s="121"/>
      <c r="I12" s="118"/>
    </row>
    <row r="13" spans="1:16" x14ac:dyDescent="0.25">
      <c r="B13" s="39"/>
      <c r="C13" s="39"/>
      <c r="D13" s="4"/>
      <c r="E13" s="96"/>
      <c r="F13" s="30"/>
      <c r="G13" s="31"/>
      <c r="H13" s="121"/>
      <c r="I13" s="118"/>
      <c r="J13" s="85"/>
    </row>
    <row r="14" spans="1:16" x14ac:dyDescent="0.25">
      <c r="B14" s="39"/>
      <c r="C14" s="39"/>
      <c r="D14" s="4"/>
      <c r="E14" s="96"/>
      <c r="F14" s="30"/>
      <c r="G14" s="31"/>
      <c r="H14" s="121"/>
      <c r="I14" s="118"/>
      <c r="J14" s="85"/>
    </row>
    <row r="15" spans="1:16" x14ac:dyDescent="0.25">
      <c r="B15" s="39"/>
      <c r="C15" s="39"/>
      <c r="D15" s="4"/>
      <c r="E15" s="96"/>
      <c r="F15" s="30"/>
      <c r="G15" s="31"/>
      <c r="H15" s="121"/>
      <c r="I15" s="118"/>
    </row>
    <row r="16" spans="1:16" s="32" customFormat="1" x14ac:dyDescent="0.25">
      <c r="B16" s="112" t="s">
        <v>14</v>
      </c>
      <c r="C16" s="112"/>
      <c r="D16" s="17"/>
      <c r="E16" s="92"/>
      <c r="F16" s="34"/>
      <c r="G16" s="31"/>
      <c r="H16" s="121"/>
      <c r="I16" s="118"/>
    </row>
    <row r="17" spans="2:6" x14ac:dyDescent="0.25">
      <c r="E17" s="99"/>
    </row>
    <row r="18" spans="2:6" x14ac:dyDescent="0.25">
      <c r="B18" s="22" t="s">
        <v>12</v>
      </c>
      <c r="C18" s="36">
        <f>SUM(F9:F15)</f>
        <v>45</v>
      </c>
      <c r="D18" s="37">
        <f>C18/365</f>
        <v>0.12328767123287671</v>
      </c>
      <c r="E18" s="37">
        <f>D18*12</f>
        <v>1.4794520547945205</v>
      </c>
    </row>
    <row r="19" spans="2:6" x14ac:dyDescent="0.25">
      <c r="B19" s="22" t="s">
        <v>13</v>
      </c>
      <c r="C19" s="79">
        <f>SUM(G9:G15)</f>
        <v>100.08462750985174</v>
      </c>
      <c r="E19" s="99"/>
    </row>
    <row r="20" spans="2:6" x14ac:dyDescent="0.25">
      <c r="B20" s="22" t="s">
        <v>16</v>
      </c>
      <c r="C20" s="24">
        <f>C19+C5</f>
        <v>10100.084627509852</v>
      </c>
      <c r="E20" s="99"/>
    </row>
    <row r="21" spans="2:6" x14ac:dyDescent="0.25">
      <c r="B21" s="22" t="s">
        <v>17</v>
      </c>
      <c r="C21" s="25">
        <f>EFFECT(F5,E18)</f>
        <v>8.0999999999999961E-2</v>
      </c>
      <c r="E21" s="99"/>
    </row>
    <row r="22" spans="2:6" ht="15.75" thickBot="1" x14ac:dyDescent="0.3">
      <c r="C22" s="37"/>
      <c r="E22" s="100"/>
    </row>
    <row r="23" spans="2:6" x14ac:dyDescent="0.25">
      <c r="B23" s="63" t="s">
        <v>20</v>
      </c>
      <c r="C23" s="88">
        <f>C5</f>
        <v>10000</v>
      </c>
      <c r="D23" s="64"/>
      <c r="E23" s="99"/>
      <c r="F23" s="91">
        <f>SUM(G9:G15)</f>
        <v>100.08462750985174</v>
      </c>
    </row>
    <row r="24" spans="2:6" x14ac:dyDescent="0.25">
      <c r="B24" s="43"/>
      <c r="E24" s="99"/>
      <c r="F24" s="45"/>
    </row>
    <row r="25" spans="2:6" ht="15.75" thickBot="1" x14ac:dyDescent="0.3">
      <c r="B25" s="43" t="s">
        <v>21</v>
      </c>
      <c r="C25" s="86">
        <f>H11</f>
        <v>10000</v>
      </c>
      <c r="E25" s="99"/>
      <c r="F25" s="46">
        <f>E10-H11</f>
        <v>100.084627509852</v>
      </c>
    </row>
    <row r="26" spans="2:6" ht="15.75" thickTop="1" x14ac:dyDescent="0.25">
      <c r="B26" s="43"/>
      <c r="E26" s="99"/>
      <c r="F26" s="45"/>
    </row>
    <row r="27" spans="2:6" x14ac:dyDescent="0.25">
      <c r="B27" s="43" t="s">
        <v>22</v>
      </c>
      <c r="C27" s="47">
        <f>C23-C25</f>
        <v>0</v>
      </c>
      <c r="E27" s="87" t="s">
        <v>25</v>
      </c>
      <c r="F27" s="44">
        <f>F23-F25</f>
        <v>-2.5579538487363607E-13</v>
      </c>
    </row>
    <row r="28" spans="2:6" ht="15.75" thickBot="1" x14ac:dyDescent="0.3">
      <c r="B28" s="48"/>
      <c r="C28" s="49"/>
      <c r="D28" s="49"/>
      <c r="E28" s="49"/>
      <c r="F28" s="50"/>
    </row>
  </sheetData>
  <pageMargins left="0.7" right="0.7" top="0.75" bottom="0.75" header="0.3" footer="0.3"/>
  <pageSetup scale="50" fitToWidth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J86"/>
  <sheetViews>
    <sheetView topLeftCell="A12" zoomScaleNormal="100" workbookViewId="0">
      <selection activeCell="C70" sqref="C70"/>
    </sheetView>
  </sheetViews>
  <sheetFormatPr defaultColWidth="9.140625" defaultRowHeight="15" x14ac:dyDescent="0.25"/>
  <cols>
    <col min="1" max="1" width="5.140625" style="22" customWidth="1"/>
    <col min="2" max="2" width="21.42578125" style="22" customWidth="1"/>
    <col min="3" max="3" width="20.5703125" style="22" bestFit="1" customWidth="1"/>
    <col min="4" max="4" width="16.85546875" style="22" bestFit="1" customWidth="1"/>
    <col min="5" max="5" width="13.7109375" style="22" bestFit="1" customWidth="1"/>
    <col min="6" max="6" width="19.140625" style="22" bestFit="1" customWidth="1"/>
    <col min="7" max="7" width="13.28515625" style="22" bestFit="1" customWidth="1"/>
    <col min="8" max="8" width="25.42578125" style="22" customWidth="1"/>
    <col min="9" max="9" width="24.140625" style="22" customWidth="1"/>
    <col min="10" max="10" width="9.140625" style="22"/>
    <col min="11" max="11" width="10.5703125" style="22" bestFit="1" customWidth="1"/>
    <col min="12" max="16384" width="9.140625" style="22"/>
  </cols>
  <sheetData>
    <row r="1" spans="1:9" ht="23.25" x14ac:dyDescent="0.35">
      <c r="A1" s="21"/>
      <c r="B1" s="21" t="s">
        <v>0</v>
      </c>
      <c r="C1" s="21"/>
      <c r="D1" s="21"/>
      <c r="E1" s="21"/>
      <c r="F1" s="21"/>
      <c r="G1" s="21"/>
    </row>
    <row r="2" spans="1:9" ht="23.25" x14ac:dyDescent="0.35">
      <c r="A2" s="21"/>
      <c r="B2" s="69" t="s">
        <v>37</v>
      </c>
      <c r="C2" s="21"/>
      <c r="D2" s="21"/>
      <c r="E2" s="21"/>
      <c r="F2" s="21"/>
      <c r="G2" s="21"/>
    </row>
    <row r="4" spans="1:9" s="18" customFormat="1" ht="12.75" x14ac:dyDescent="0.2">
      <c r="B4" s="18" t="s">
        <v>1</v>
      </c>
      <c r="C4" s="19" t="s">
        <v>2</v>
      </c>
      <c r="D4" s="18" t="s">
        <v>7</v>
      </c>
      <c r="E4" s="23" t="s">
        <v>10</v>
      </c>
      <c r="F4" s="18" t="s">
        <v>15</v>
      </c>
      <c r="G4" s="18" t="s">
        <v>11</v>
      </c>
    </row>
    <row r="5" spans="1:9" x14ac:dyDescent="0.25">
      <c r="B5" s="72">
        <v>45352</v>
      </c>
      <c r="C5" s="20">
        <v>10000</v>
      </c>
      <c r="D5" s="24">
        <f>C5/5</f>
        <v>2000</v>
      </c>
      <c r="E5" s="25">
        <v>7.1999999999999995E-2</v>
      </c>
      <c r="F5" s="25">
        <f>E5+0.009</f>
        <v>8.0999999999999989E-2</v>
      </c>
      <c r="G5" s="25">
        <f>F5/366</f>
        <v>2.2131147540983603E-4</v>
      </c>
    </row>
    <row r="6" spans="1:9" x14ac:dyDescent="0.25">
      <c r="B6" s="78"/>
      <c r="C6" s="79"/>
      <c r="D6" s="24"/>
      <c r="E6" s="25"/>
      <c r="F6" s="25"/>
      <c r="G6" s="25"/>
    </row>
    <row r="7" spans="1:9" x14ac:dyDescent="0.25">
      <c r="B7" s="32" t="s">
        <v>41</v>
      </c>
      <c r="C7" s="26"/>
      <c r="E7" s="68"/>
      <c r="F7" s="67"/>
      <c r="G7" s="25"/>
    </row>
    <row r="8" spans="1:9" x14ac:dyDescent="0.25">
      <c r="C8" s="26"/>
      <c r="E8" s="68"/>
      <c r="F8" s="67"/>
      <c r="G8" s="25"/>
    </row>
    <row r="9" spans="1:9" x14ac:dyDescent="0.25">
      <c r="E9" s="70"/>
      <c r="F9" s="67"/>
      <c r="G9" s="25"/>
    </row>
    <row r="10" spans="1:9" s="18" customFormat="1" ht="12.75" x14ac:dyDescent="0.2">
      <c r="B10" s="27" t="s">
        <v>3</v>
      </c>
      <c r="C10" s="27" t="s">
        <v>4</v>
      </c>
      <c r="D10" s="27" t="s">
        <v>5</v>
      </c>
      <c r="E10" s="27" t="s">
        <v>8</v>
      </c>
      <c r="F10" s="27" t="s">
        <v>6</v>
      </c>
      <c r="G10" s="28" t="s">
        <v>9</v>
      </c>
      <c r="H10" s="130" t="s">
        <v>18</v>
      </c>
      <c r="I10" s="114" t="s">
        <v>19</v>
      </c>
    </row>
    <row r="11" spans="1:9" x14ac:dyDescent="0.25">
      <c r="B11" s="29">
        <f>B5</f>
        <v>45352</v>
      </c>
      <c r="C11" s="40">
        <f>EOMONTH(B11,0)</f>
        <v>45382</v>
      </c>
      <c r="D11" s="4">
        <f>C5</f>
        <v>10000</v>
      </c>
      <c r="E11" s="53"/>
      <c r="F11" s="30">
        <f t="shared" ref="F11:F12" si="0">C11-B11+1</f>
        <v>31</v>
      </c>
      <c r="G11" s="31">
        <f t="shared" ref="G11:G67" si="1">$G$5*F11*D11</f>
        <v>68.606557377049171</v>
      </c>
      <c r="H11" s="129"/>
      <c r="I11" s="135"/>
    </row>
    <row r="12" spans="1:9" x14ac:dyDescent="0.25">
      <c r="B12" s="29">
        <f>C11+1</f>
        <v>45383</v>
      </c>
      <c r="C12" s="40">
        <f t="shared" ref="C12:C65" si="2">EOMONTH(B12,0)</f>
        <v>45412</v>
      </c>
      <c r="D12" s="4">
        <f>D11+G11-E11</f>
        <v>10068.606557377048</v>
      </c>
      <c r="E12" s="4"/>
      <c r="F12" s="30">
        <f t="shared" si="0"/>
        <v>30</v>
      </c>
      <c r="G12" s="31">
        <f t="shared" si="1"/>
        <v>66.848945176027925</v>
      </c>
      <c r="H12" s="129"/>
      <c r="I12" s="125"/>
    </row>
    <row r="13" spans="1:9" x14ac:dyDescent="0.25">
      <c r="B13" s="29">
        <f t="shared" ref="B13:B67" si="3">C12+1</f>
        <v>45413</v>
      </c>
      <c r="C13" s="40">
        <f t="shared" si="2"/>
        <v>45443</v>
      </c>
      <c r="D13" s="4">
        <f t="shared" ref="D13:D67" si="4">D12+G12-E12</f>
        <v>10135.455502553077</v>
      </c>
      <c r="F13" s="30">
        <f t="shared" ref="F13:F39" si="5">C13-B13+1</f>
        <v>31</v>
      </c>
      <c r="G13" s="31">
        <f t="shared" si="1"/>
        <v>69.535870947843648</v>
      </c>
      <c r="H13" s="129">
        <f>$C$5</f>
        <v>10000</v>
      </c>
      <c r="I13" s="135">
        <v>0.2</v>
      </c>
    </row>
    <row r="14" spans="1:9" x14ac:dyDescent="0.25">
      <c r="B14" s="29">
        <f t="shared" si="3"/>
        <v>45444</v>
      </c>
      <c r="C14" s="40">
        <f>B14+14</f>
        <v>45458</v>
      </c>
      <c r="D14" s="4">
        <f t="shared" si="4"/>
        <v>10204.991373500921</v>
      </c>
      <c r="E14" s="128">
        <f>SUM($G$11:G14)+H14</f>
        <v>2238.8685989621326</v>
      </c>
      <c r="F14" s="30">
        <f t="shared" si="5"/>
        <v>15</v>
      </c>
      <c r="G14" s="31">
        <f t="shared" si="1"/>
        <v>33.87722546121207</v>
      </c>
      <c r="H14" s="129">
        <f>H13*I13</f>
        <v>2000</v>
      </c>
      <c r="I14" s="135"/>
    </row>
    <row r="15" spans="1:9" ht="14.25" customHeight="1" x14ac:dyDescent="0.25">
      <c r="B15" s="29">
        <f t="shared" si="3"/>
        <v>45459</v>
      </c>
      <c r="C15" s="40">
        <f t="shared" si="2"/>
        <v>45473</v>
      </c>
      <c r="D15" s="4">
        <f t="shared" si="4"/>
        <v>8000.0000000000009</v>
      </c>
      <c r="E15" s="54"/>
      <c r="F15" s="30">
        <f t="shared" si="5"/>
        <v>15</v>
      </c>
      <c r="G15" s="31">
        <f t="shared" si="1"/>
        <v>26.557377049180324</v>
      </c>
      <c r="H15" s="129"/>
      <c r="I15" s="135"/>
    </row>
    <row r="16" spans="1:9" x14ac:dyDescent="0.25">
      <c r="B16" s="29">
        <f t="shared" si="3"/>
        <v>45474</v>
      </c>
      <c r="C16" s="40">
        <f t="shared" si="2"/>
        <v>45504</v>
      </c>
      <c r="D16" s="4">
        <f t="shared" si="4"/>
        <v>8026.557377049181</v>
      </c>
      <c r="E16" s="54"/>
      <c r="F16" s="30">
        <f t="shared" si="5"/>
        <v>31</v>
      </c>
      <c r="G16" s="31">
        <f t="shared" si="1"/>
        <v>55.067446922870197</v>
      </c>
      <c r="H16" s="129"/>
      <c r="I16" s="135"/>
    </row>
    <row r="17" spans="2:9" x14ac:dyDescent="0.25">
      <c r="B17" s="29">
        <f t="shared" si="3"/>
        <v>45505</v>
      </c>
      <c r="C17" s="40">
        <f t="shared" si="2"/>
        <v>45535</v>
      </c>
      <c r="D17" s="4">
        <f t="shared" si="4"/>
        <v>8081.6248239720508</v>
      </c>
      <c r="E17" s="54"/>
      <c r="F17" s="30">
        <f t="shared" si="5"/>
        <v>31</v>
      </c>
      <c r="G17" s="31">
        <f t="shared" si="1"/>
        <v>55.44524571856234</v>
      </c>
      <c r="H17" s="129"/>
      <c r="I17" s="135"/>
    </row>
    <row r="18" spans="2:9" x14ac:dyDescent="0.25">
      <c r="B18" s="29">
        <f t="shared" si="3"/>
        <v>45536</v>
      </c>
      <c r="C18" s="40">
        <f t="shared" si="2"/>
        <v>45565</v>
      </c>
      <c r="D18" s="4">
        <f t="shared" si="4"/>
        <v>8137.0700696906133</v>
      </c>
      <c r="E18" s="54"/>
      <c r="F18" s="30">
        <f t="shared" si="5"/>
        <v>30</v>
      </c>
      <c r="G18" s="31">
        <f t="shared" si="1"/>
        <v>54.024809479093406</v>
      </c>
      <c r="H18" s="129"/>
      <c r="I18" s="135"/>
    </row>
    <row r="19" spans="2:9" ht="14.25" customHeight="1" x14ac:dyDescent="0.25">
      <c r="B19" s="29">
        <f t="shared" si="3"/>
        <v>45566</v>
      </c>
      <c r="C19" s="40">
        <f t="shared" si="2"/>
        <v>45596</v>
      </c>
      <c r="D19" s="4">
        <f t="shared" si="4"/>
        <v>8191.0948791697065</v>
      </c>
      <c r="E19" s="54"/>
      <c r="F19" s="30">
        <f t="shared" si="5"/>
        <v>31</v>
      </c>
      <c r="G19" s="31">
        <f t="shared" si="1"/>
        <v>56.19628208086101</v>
      </c>
      <c r="H19" s="129"/>
      <c r="I19" s="135"/>
    </row>
    <row r="20" spans="2:9" ht="14.25" customHeight="1" x14ac:dyDescent="0.25">
      <c r="B20" s="29">
        <f t="shared" si="3"/>
        <v>45597</v>
      </c>
      <c r="C20" s="40">
        <f t="shared" si="2"/>
        <v>45626</v>
      </c>
      <c r="D20" s="4">
        <f t="shared" si="4"/>
        <v>8247.2911612505668</v>
      </c>
      <c r="E20" s="66"/>
      <c r="F20" s="30">
        <f t="shared" si="5"/>
        <v>30</v>
      </c>
      <c r="G20" s="31">
        <f t="shared" si="1"/>
        <v>54.756605250925887</v>
      </c>
      <c r="H20" s="129"/>
      <c r="I20" s="135"/>
    </row>
    <row r="21" spans="2:9" ht="14.25" customHeight="1" x14ac:dyDescent="0.25">
      <c r="B21" s="29">
        <f t="shared" si="3"/>
        <v>45627</v>
      </c>
      <c r="C21" s="40">
        <f t="shared" si="2"/>
        <v>45657</v>
      </c>
      <c r="D21" s="4">
        <f t="shared" si="4"/>
        <v>8302.0477665014932</v>
      </c>
      <c r="E21" s="54"/>
      <c r="F21" s="30">
        <f t="shared" si="5"/>
        <v>31</v>
      </c>
      <c r="G21" s="31">
        <f t="shared" si="1"/>
        <v>56.957491643948764</v>
      </c>
      <c r="H21" s="129"/>
      <c r="I21" s="135"/>
    </row>
    <row r="22" spans="2:9" ht="14.25" customHeight="1" x14ac:dyDescent="0.25">
      <c r="B22" s="29">
        <f t="shared" si="3"/>
        <v>45658</v>
      </c>
      <c r="C22" s="40">
        <f t="shared" si="2"/>
        <v>45688</v>
      </c>
      <c r="D22" s="4">
        <f t="shared" si="4"/>
        <v>8359.005258145442</v>
      </c>
      <c r="F22" s="30">
        <f t="shared" si="5"/>
        <v>31</v>
      </c>
      <c r="G22" s="31">
        <f t="shared" si="1"/>
        <v>57.348257385801098</v>
      </c>
      <c r="H22" s="129"/>
      <c r="I22" s="135"/>
    </row>
    <row r="23" spans="2:9" ht="14.25" customHeight="1" x14ac:dyDescent="0.25">
      <c r="B23" s="29">
        <f t="shared" si="3"/>
        <v>45689</v>
      </c>
      <c r="C23" s="40">
        <f t="shared" si="2"/>
        <v>45716</v>
      </c>
      <c r="D23" s="4">
        <f t="shared" si="4"/>
        <v>8416.3535155312438</v>
      </c>
      <c r="E23" s="4"/>
      <c r="F23" s="30">
        <f t="shared" si="5"/>
        <v>28</v>
      </c>
      <c r="G23" s="31">
        <f t="shared" si="1"/>
        <v>52.153797194603435</v>
      </c>
      <c r="H23" s="129"/>
      <c r="I23" s="135"/>
    </row>
    <row r="24" spans="2:9" ht="14.25" customHeight="1" x14ac:dyDescent="0.25">
      <c r="B24" s="29">
        <f t="shared" si="3"/>
        <v>45717</v>
      </c>
      <c r="C24" s="40">
        <f t="shared" si="2"/>
        <v>45747</v>
      </c>
      <c r="D24" s="4">
        <f t="shared" si="4"/>
        <v>8468.5073127258474</v>
      </c>
      <c r="E24" s="54"/>
      <c r="F24" s="30">
        <f t="shared" si="5"/>
        <v>31</v>
      </c>
      <c r="G24" s="31">
        <f t="shared" si="1"/>
        <v>58.099513284848634</v>
      </c>
      <c r="H24" s="129"/>
      <c r="I24" s="135"/>
    </row>
    <row r="25" spans="2:9" ht="14.25" customHeight="1" x14ac:dyDescent="0.25">
      <c r="B25" s="29">
        <f t="shared" si="3"/>
        <v>45748</v>
      </c>
      <c r="C25" s="40">
        <f t="shared" si="2"/>
        <v>45777</v>
      </c>
      <c r="D25" s="4">
        <f t="shared" si="4"/>
        <v>8526.6068260106968</v>
      </c>
      <c r="E25" s="54"/>
      <c r="F25" s="30">
        <f t="shared" si="5"/>
        <v>30</v>
      </c>
      <c r="G25" s="31">
        <f t="shared" si="1"/>
        <v>56.611078107120193</v>
      </c>
      <c r="H25" s="129"/>
      <c r="I25" s="135"/>
    </row>
    <row r="26" spans="2:9" x14ac:dyDescent="0.25">
      <c r="B26" s="29">
        <f t="shared" si="3"/>
        <v>45778</v>
      </c>
      <c r="C26" s="40">
        <f t="shared" si="2"/>
        <v>45808</v>
      </c>
      <c r="D26" s="4">
        <f t="shared" si="4"/>
        <v>8583.2179041178169</v>
      </c>
      <c r="E26" s="54"/>
      <c r="F26" s="30">
        <f t="shared" si="5"/>
        <v>31</v>
      </c>
      <c r="G26" s="31">
        <f t="shared" si="1"/>
        <v>58.886503161857476</v>
      </c>
      <c r="H26" s="129">
        <f>H13-H14</f>
        <v>8000</v>
      </c>
      <c r="I26" s="135">
        <v>0.25</v>
      </c>
    </row>
    <row r="27" spans="2:9" ht="14.25" customHeight="1" x14ac:dyDescent="0.25">
      <c r="B27" s="29">
        <f t="shared" si="3"/>
        <v>45809</v>
      </c>
      <c r="C27" s="40">
        <f>B27+14</f>
        <v>45823</v>
      </c>
      <c r="D27" s="4">
        <f t="shared" si="4"/>
        <v>8642.104407279674</v>
      </c>
      <c r="E27" s="128">
        <f>SUM(G15:G27)+H27</f>
        <v>2670.7933604349864</v>
      </c>
      <c r="F27" s="30">
        <f t="shared" si="5"/>
        <v>15</v>
      </c>
      <c r="G27" s="31">
        <f t="shared" si="1"/>
        <v>28.688953155313666</v>
      </c>
      <c r="H27" s="129">
        <f>H26*I26</f>
        <v>2000</v>
      </c>
      <c r="I27" s="135"/>
    </row>
    <row r="28" spans="2:9" x14ac:dyDescent="0.25">
      <c r="B28" s="29">
        <f t="shared" si="3"/>
        <v>45824</v>
      </c>
      <c r="C28" s="40">
        <f t="shared" si="2"/>
        <v>45838</v>
      </c>
      <c r="D28" s="4">
        <f t="shared" si="4"/>
        <v>6000.0000000000009</v>
      </c>
      <c r="E28" s="54"/>
      <c r="F28" s="30">
        <f t="shared" si="5"/>
        <v>15</v>
      </c>
      <c r="G28" s="31">
        <f t="shared" si="1"/>
        <v>19.918032786885245</v>
      </c>
      <c r="H28" s="129"/>
      <c r="I28" s="135"/>
    </row>
    <row r="29" spans="2:9" ht="14.25" customHeight="1" x14ac:dyDescent="0.25">
      <c r="B29" s="29">
        <f t="shared" si="3"/>
        <v>45839</v>
      </c>
      <c r="C29" s="40">
        <f t="shared" si="2"/>
        <v>45869</v>
      </c>
      <c r="D29" s="4">
        <f t="shared" si="4"/>
        <v>6019.9180327868862</v>
      </c>
      <c r="E29" s="54"/>
      <c r="F29" s="30">
        <f t="shared" si="5"/>
        <v>31</v>
      </c>
      <c r="G29" s="31">
        <f t="shared" si="1"/>
        <v>41.300585192152653</v>
      </c>
      <c r="H29" s="129"/>
      <c r="I29" s="135"/>
    </row>
    <row r="30" spans="2:9" x14ac:dyDescent="0.25">
      <c r="B30" s="29">
        <f t="shared" si="3"/>
        <v>45870</v>
      </c>
      <c r="C30" s="40">
        <f t="shared" si="2"/>
        <v>45900</v>
      </c>
      <c r="D30" s="4">
        <f t="shared" si="4"/>
        <v>6061.2186179790388</v>
      </c>
      <c r="E30" s="54"/>
      <c r="F30" s="30">
        <f t="shared" si="5"/>
        <v>31</v>
      </c>
      <c r="G30" s="31">
        <f t="shared" si="1"/>
        <v>41.58393428892176</v>
      </c>
      <c r="H30" s="129"/>
      <c r="I30" s="135"/>
    </row>
    <row r="31" spans="2:9" x14ac:dyDescent="0.25">
      <c r="B31" s="29">
        <f t="shared" si="3"/>
        <v>45901</v>
      </c>
      <c r="C31" s="40">
        <f t="shared" si="2"/>
        <v>45930</v>
      </c>
      <c r="D31" s="4">
        <f t="shared" si="4"/>
        <v>6102.8025522679609</v>
      </c>
      <c r="E31" s="54"/>
      <c r="F31" s="30">
        <f t="shared" si="5"/>
        <v>30</v>
      </c>
      <c r="G31" s="31">
        <f t="shared" si="1"/>
        <v>40.518607109320058</v>
      </c>
      <c r="H31" s="129"/>
      <c r="I31" s="135"/>
    </row>
    <row r="32" spans="2:9" x14ac:dyDescent="0.25">
      <c r="B32" s="29">
        <f t="shared" si="3"/>
        <v>45931</v>
      </c>
      <c r="C32" s="40">
        <f t="shared" si="2"/>
        <v>45961</v>
      </c>
      <c r="D32" s="4">
        <f t="shared" si="4"/>
        <v>6143.3211593772812</v>
      </c>
      <c r="E32" s="54"/>
      <c r="F32" s="30">
        <f t="shared" si="5"/>
        <v>31</v>
      </c>
      <c r="G32" s="31">
        <f t="shared" si="1"/>
        <v>42.147211560645772</v>
      </c>
      <c r="H32" s="129"/>
      <c r="I32" s="135"/>
    </row>
    <row r="33" spans="2:10" ht="14.25" customHeight="1" x14ac:dyDescent="0.25">
      <c r="B33" s="29">
        <f t="shared" si="3"/>
        <v>45962</v>
      </c>
      <c r="C33" s="40">
        <f t="shared" si="2"/>
        <v>45991</v>
      </c>
      <c r="D33" s="4">
        <f t="shared" si="4"/>
        <v>6185.4683709379269</v>
      </c>
      <c r="E33" s="66"/>
      <c r="F33" s="30">
        <f t="shared" si="5"/>
        <v>30</v>
      </c>
      <c r="G33" s="31">
        <f t="shared" si="1"/>
        <v>41.067453938194426</v>
      </c>
      <c r="H33" s="129"/>
      <c r="I33" s="135"/>
    </row>
    <row r="34" spans="2:10" ht="14.25" customHeight="1" x14ac:dyDescent="0.25">
      <c r="B34" s="29">
        <f t="shared" si="3"/>
        <v>45992</v>
      </c>
      <c r="C34" s="40">
        <f t="shared" si="2"/>
        <v>46022</v>
      </c>
      <c r="D34" s="4">
        <f t="shared" si="4"/>
        <v>6226.5358248761213</v>
      </c>
      <c r="E34" s="54"/>
      <c r="F34" s="30">
        <f t="shared" si="5"/>
        <v>31</v>
      </c>
      <c r="G34" s="31">
        <f t="shared" si="1"/>
        <v>42.718118732961585</v>
      </c>
      <c r="H34" s="129"/>
      <c r="I34" s="135"/>
    </row>
    <row r="35" spans="2:10" ht="14.25" customHeight="1" x14ac:dyDescent="0.25">
      <c r="B35" s="29">
        <f t="shared" si="3"/>
        <v>46023</v>
      </c>
      <c r="C35" s="40">
        <f t="shared" si="2"/>
        <v>46053</v>
      </c>
      <c r="D35" s="4">
        <f t="shared" si="4"/>
        <v>6269.2539436090829</v>
      </c>
      <c r="F35" s="30">
        <f t="shared" si="5"/>
        <v>31</v>
      </c>
      <c r="G35" s="31">
        <f t="shared" si="1"/>
        <v>43.011193039350836</v>
      </c>
      <c r="H35" s="129"/>
      <c r="I35" s="135"/>
    </row>
    <row r="36" spans="2:10" ht="14.25" customHeight="1" x14ac:dyDescent="0.25">
      <c r="B36" s="29">
        <f t="shared" si="3"/>
        <v>46054</v>
      </c>
      <c r="C36" s="40">
        <f t="shared" si="2"/>
        <v>46081</v>
      </c>
      <c r="D36" s="4">
        <f t="shared" si="4"/>
        <v>6312.2651366484333</v>
      </c>
      <c r="E36" s="66"/>
      <c r="F36" s="30">
        <f t="shared" si="5"/>
        <v>28</v>
      </c>
      <c r="G36" s="31">
        <f t="shared" si="1"/>
        <v>39.115347895952581</v>
      </c>
      <c r="H36" s="129"/>
      <c r="I36" s="135"/>
    </row>
    <row r="37" spans="2:10" ht="14.25" customHeight="1" x14ac:dyDescent="0.25">
      <c r="B37" s="29">
        <f t="shared" si="3"/>
        <v>46082</v>
      </c>
      <c r="C37" s="40">
        <f t="shared" si="2"/>
        <v>46112</v>
      </c>
      <c r="D37" s="4">
        <f t="shared" si="4"/>
        <v>6351.3804845443856</v>
      </c>
      <c r="E37" s="66"/>
      <c r="F37" s="30">
        <f t="shared" si="5"/>
        <v>31</v>
      </c>
      <c r="G37" s="31">
        <f t="shared" si="1"/>
        <v>43.574634963636477</v>
      </c>
      <c r="H37" s="129"/>
      <c r="I37" s="135"/>
    </row>
    <row r="38" spans="2:10" ht="14.25" customHeight="1" x14ac:dyDescent="0.25">
      <c r="B38" s="29">
        <f t="shared" si="3"/>
        <v>46113</v>
      </c>
      <c r="C38" s="40">
        <f t="shared" si="2"/>
        <v>46142</v>
      </c>
      <c r="D38" s="4">
        <f t="shared" si="4"/>
        <v>6394.9551195080221</v>
      </c>
      <c r="E38" s="66"/>
      <c r="F38" s="30">
        <f t="shared" si="5"/>
        <v>30</v>
      </c>
      <c r="G38" s="31">
        <f t="shared" si="1"/>
        <v>42.458308580340137</v>
      </c>
      <c r="H38" s="129"/>
      <c r="I38" s="135"/>
    </row>
    <row r="39" spans="2:10" ht="14.25" customHeight="1" x14ac:dyDescent="0.25">
      <c r="B39" s="29">
        <f t="shared" si="3"/>
        <v>46143</v>
      </c>
      <c r="C39" s="40">
        <f t="shared" si="2"/>
        <v>46173</v>
      </c>
      <c r="D39" s="4">
        <f t="shared" si="4"/>
        <v>6437.4134280883618</v>
      </c>
      <c r="E39" s="66"/>
      <c r="F39" s="30">
        <f t="shared" si="5"/>
        <v>31</v>
      </c>
      <c r="G39" s="31">
        <f t="shared" si="1"/>
        <v>44.164877371393104</v>
      </c>
      <c r="H39" s="129">
        <f>H26-H27</f>
        <v>6000</v>
      </c>
      <c r="I39" s="135">
        <v>0.33329999999999999</v>
      </c>
    </row>
    <row r="40" spans="2:10" x14ac:dyDescent="0.25">
      <c r="B40" s="29">
        <f t="shared" si="3"/>
        <v>46174</v>
      </c>
      <c r="C40" s="40">
        <f>B40+14</f>
        <v>46188</v>
      </c>
      <c r="D40" s="4">
        <f t="shared" si="4"/>
        <v>6481.578305459755</v>
      </c>
      <c r="E40" s="66">
        <f>SUM(G28:G40)+H40</f>
        <v>2502.8950203262398</v>
      </c>
      <c r="F40" s="30">
        <f>C40-B40+1</f>
        <v>15</v>
      </c>
      <c r="G40" s="31">
        <f t="shared" si="1"/>
        <v>21.516714866485248</v>
      </c>
      <c r="H40" s="129">
        <f>H39*I39</f>
        <v>1999.8</v>
      </c>
      <c r="I40" s="135"/>
    </row>
    <row r="41" spans="2:10" x14ac:dyDescent="0.25">
      <c r="B41" s="29">
        <f t="shared" si="3"/>
        <v>46189</v>
      </c>
      <c r="C41" s="40">
        <f t="shared" si="2"/>
        <v>46203</v>
      </c>
      <c r="D41" s="4">
        <f t="shared" si="4"/>
        <v>4000.2000000000003</v>
      </c>
      <c r="E41" s="66"/>
      <c r="F41" s="30">
        <f t="shared" ref="F41:F52" si="6">C41-B41+1</f>
        <v>15</v>
      </c>
      <c r="G41" s="31">
        <f t="shared" si="1"/>
        <v>13.279352459016392</v>
      </c>
      <c r="H41" s="129"/>
      <c r="I41" s="135"/>
    </row>
    <row r="42" spans="2:10" x14ac:dyDescent="0.25">
      <c r="B42" s="29">
        <f t="shared" si="3"/>
        <v>46204</v>
      </c>
      <c r="C42" s="40">
        <f t="shared" si="2"/>
        <v>46234</v>
      </c>
      <c r="D42" s="4">
        <f t="shared" si="4"/>
        <v>4013.4793524590168</v>
      </c>
      <c r="E42" s="54"/>
      <c r="F42" s="30">
        <f t="shared" si="6"/>
        <v>31</v>
      </c>
      <c r="G42" s="31">
        <f t="shared" si="1"/>
        <v>27.535100147608169</v>
      </c>
      <c r="H42" s="129"/>
      <c r="I42" s="135"/>
      <c r="J42" s="71"/>
    </row>
    <row r="43" spans="2:10" x14ac:dyDescent="0.25">
      <c r="B43" s="29">
        <f t="shared" si="3"/>
        <v>46235</v>
      </c>
      <c r="C43" s="40">
        <f t="shared" si="2"/>
        <v>46265</v>
      </c>
      <c r="D43" s="4">
        <f t="shared" si="4"/>
        <v>4041.0144526066251</v>
      </c>
      <c r="E43" s="54"/>
      <c r="F43" s="30">
        <f t="shared" si="6"/>
        <v>31</v>
      </c>
      <c r="G43" s="31">
        <f t="shared" si="1"/>
        <v>27.724008990424139</v>
      </c>
      <c r="H43" s="129"/>
      <c r="I43" s="135"/>
    </row>
    <row r="44" spans="2:10" x14ac:dyDescent="0.25">
      <c r="B44" s="29">
        <f t="shared" si="3"/>
        <v>46266</v>
      </c>
      <c r="C44" s="40">
        <f t="shared" si="2"/>
        <v>46295</v>
      </c>
      <c r="D44" s="4">
        <f t="shared" si="4"/>
        <v>4068.7384615970491</v>
      </c>
      <c r="E44" s="54"/>
      <c r="F44" s="30">
        <f t="shared" si="6"/>
        <v>30</v>
      </c>
      <c r="G44" s="31">
        <f t="shared" si="1"/>
        <v>27.01375535978368</v>
      </c>
      <c r="H44" s="129"/>
      <c r="I44" s="135"/>
    </row>
    <row r="45" spans="2:10" x14ac:dyDescent="0.25">
      <c r="B45" s="29">
        <f t="shared" si="3"/>
        <v>46296</v>
      </c>
      <c r="C45" s="40">
        <f t="shared" si="2"/>
        <v>46326</v>
      </c>
      <c r="D45" s="4">
        <f t="shared" si="4"/>
        <v>4095.7522169568329</v>
      </c>
      <c r="E45" s="54"/>
      <c r="F45" s="30">
        <f t="shared" si="6"/>
        <v>31</v>
      </c>
      <c r="G45" s="31">
        <f t="shared" si="1"/>
        <v>28.099545947482532</v>
      </c>
      <c r="H45" s="129"/>
      <c r="I45" s="135"/>
    </row>
    <row r="46" spans="2:10" ht="14.25" customHeight="1" x14ac:dyDescent="0.25">
      <c r="B46" s="29">
        <f t="shared" si="3"/>
        <v>46327</v>
      </c>
      <c r="C46" s="40">
        <f t="shared" si="2"/>
        <v>46356</v>
      </c>
      <c r="D46" s="4">
        <f t="shared" si="4"/>
        <v>4123.8517629043154</v>
      </c>
      <c r="E46" s="4"/>
      <c r="F46" s="30">
        <f t="shared" si="6"/>
        <v>30</v>
      </c>
      <c r="G46" s="31">
        <f t="shared" si="1"/>
        <v>27.37967154059422</v>
      </c>
      <c r="H46" s="129"/>
      <c r="I46" s="135"/>
    </row>
    <row r="47" spans="2:10" ht="14.25" customHeight="1" x14ac:dyDescent="0.25">
      <c r="B47" s="29">
        <f t="shared" si="3"/>
        <v>46357</v>
      </c>
      <c r="C47" s="40">
        <f t="shared" si="2"/>
        <v>46387</v>
      </c>
      <c r="D47" s="4">
        <f t="shared" si="4"/>
        <v>4151.2314344449096</v>
      </c>
      <c r="E47" s="4"/>
      <c r="F47" s="30">
        <f t="shared" si="6"/>
        <v>31</v>
      </c>
      <c r="G47" s="31">
        <f t="shared" si="1"/>
        <v>28.480169759265483</v>
      </c>
      <c r="H47" s="129"/>
      <c r="I47" s="135"/>
    </row>
    <row r="48" spans="2:10" ht="14.25" customHeight="1" x14ac:dyDescent="0.25">
      <c r="B48" s="29">
        <f t="shared" si="3"/>
        <v>46388</v>
      </c>
      <c r="C48" s="40">
        <f t="shared" si="2"/>
        <v>46418</v>
      </c>
      <c r="D48" s="4">
        <f t="shared" si="4"/>
        <v>4179.7116042041753</v>
      </c>
      <c r="F48" s="30">
        <f t="shared" si="6"/>
        <v>31</v>
      </c>
      <c r="G48" s="31">
        <f t="shared" si="1"/>
        <v>28.675562399335199</v>
      </c>
      <c r="H48" s="129"/>
      <c r="I48" s="135"/>
    </row>
    <row r="49" spans="2:9" ht="14.25" customHeight="1" x14ac:dyDescent="0.25">
      <c r="B49" s="29">
        <f t="shared" si="3"/>
        <v>46419</v>
      </c>
      <c r="C49" s="40">
        <f t="shared" si="2"/>
        <v>46446</v>
      </c>
      <c r="D49" s="4">
        <f t="shared" si="4"/>
        <v>4208.3871666035102</v>
      </c>
      <c r="E49" s="4"/>
      <c r="F49" s="30">
        <f t="shared" si="6"/>
        <v>28</v>
      </c>
      <c r="G49" s="31">
        <f t="shared" si="1"/>
        <v>26.078202442231582</v>
      </c>
      <c r="H49" s="129"/>
      <c r="I49" s="135"/>
    </row>
    <row r="50" spans="2:9" ht="14.25" customHeight="1" x14ac:dyDescent="0.25">
      <c r="B50" s="29">
        <f t="shared" si="3"/>
        <v>46447</v>
      </c>
      <c r="C50" s="40">
        <f t="shared" si="2"/>
        <v>46477</v>
      </c>
      <c r="D50" s="4">
        <f t="shared" si="4"/>
        <v>4234.4653690457417</v>
      </c>
      <c r="E50" s="4"/>
      <c r="F50" s="30">
        <f t="shared" si="6"/>
        <v>31</v>
      </c>
      <c r="G50" s="31">
        <f t="shared" si="1"/>
        <v>29.051209130256439</v>
      </c>
      <c r="H50" s="129"/>
      <c r="I50" s="135"/>
    </row>
    <row r="51" spans="2:9" ht="14.25" customHeight="1" x14ac:dyDescent="0.25">
      <c r="B51" s="29">
        <f t="shared" si="3"/>
        <v>46478</v>
      </c>
      <c r="C51" s="40">
        <f t="shared" si="2"/>
        <v>46507</v>
      </c>
      <c r="D51" s="4">
        <f t="shared" si="4"/>
        <v>4263.5165781759979</v>
      </c>
      <c r="E51" s="4"/>
      <c r="F51" s="30">
        <f t="shared" si="6"/>
        <v>30</v>
      </c>
      <c r="G51" s="31">
        <f t="shared" si="1"/>
        <v>28.306954330512767</v>
      </c>
      <c r="H51" s="129"/>
      <c r="I51" s="135"/>
    </row>
    <row r="52" spans="2:9" x14ac:dyDescent="0.25">
      <c r="B52" s="29">
        <f t="shared" si="3"/>
        <v>46508</v>
      </c>
      <c r="C52" s="40">
        <f t="shared" si="2"/>
        <v>46538</v>
      </c>
      <c r="D52" s="4">
        <f t="shared" si="4"/>
        <v>4291.8235325065107</v>
      </c>
      <c r="E52" s="4"/>
      <c r="F52" s="30">
        <f t="shared" si="6"/>
        <v>31</v>
      </c>
      <c r="G52" s="31">
        <f t="shared" si="1"/>
        <v>29.44472374350778</v>
      </c>
      <c r="H52" s="129">
        <f>H39-H40</f>
        <v>4000.2</v>
      </c>
      <c r="I52" s="135">
        <v>0.5</v>
      </c>
    </row>
    <row r="53" spans="2:9" x14ac:dyDescent="0.25">
      <c r="B53" s="29">
        <f t="shared" si="3"/>
        <v>46539</v>
      </c>
      <c r="C53" s="40">
        <f>B53+14</f>
        <v>46553</v>
      </c>
      <c r="D53" s="4">
        <f t="shared" si="4"/>
        <v>4321.2682562500186</v>
      </c>
      <c r="E53" s="4">
        <f>SUM(G41:G53)+H53</f>
        <v>2335.5134500515042</v>
      </c>
      <c r="F53" s="30">
        <f>C53-B53+1</f>
        <v>15</v>
      </c>
      <c r="G53" s="31">
        <f t="shared" si="1"/>
        <v>14.345193801485715</v>
      </c>
      <c r="H53" s="129">
        <f>H52*I52</f>
        <v>2000.1</v>
      </c>
      <c r="I53" s="135"/>
    </row>
    <row r="54" spans="2:9" x14ac:dyDescent="0.25">
      <c r="B54" s="29">
        <f t="shared" si="3"/>
        <v>46554</v>
      </c>
      <c r="C54" s="40">
        <f t="shared" si="2"/>
        <v>46568</v>
      </c>
      <c r="D54" s="4">
        <f t="shared" si="4"/>
        <v>2000.1000000000004</v>
      </c>
      <c r="E54" s="4"/>
      <c r="F54" s="30">
        <f t="shared" ref="F54:F66" si="7">C54-B54+1</f>
        <v>15</v>
      </c>
      <c r="G54" s="31">
        <f t="shared" si="1"/>
        <v>6.639676229508197</v>
      </c>
      <c r="H54" s="129"/>
      <c r="I54" s="135"/>
    </row>
    <row r="55" spans="2:9" x14ac:dyDescent="0.25">
      <c r="B55" s="29">
        <f t="shared" si="3"/>
        <v>46569</v>
      </c>
      <c r="C55" s="40">
        <f t="shared" si="2"/>
        <v>46599</v>
      </c>
      <c r="D55" s="4">
        <f t="shared" si="4"/>
        <v>2006.7396762295086</v>
      </c>
      <c r="E55" s="4"/>
      <c r="F55" s="30">
        <f t="shared" si="7"/>
        <v>31</v>
      </c>
      <c r="G55" s="31">
        <f t="shared" si="1"/>
        <v>13.767550073804086</v>
      </c>
      <c r="H55" s="129"/>
      <c r="I55" s="135"/>
    </row>
    <row r="56" spans="2:9" x14ac:dyDescent="0.25">
      <c r="B56" s="29">
        <f t="shared" si="3"/>
        <v>46600</v>
      </c>
      <c r="C56" s="40">
        <f t="shared" si="2"/>
        <v>46630</v>
      </c>
      <c r="D56" s="4">
        <f t="shared" si="4"/>
        <v>2020.5072263033128</v>
      </c>
      <c r="E56" s="4"/>
      <c r="F56" s="30">
        <f t="shared" si="7"/>
        <v>31</v>
      </c>
      <c r="G56" s="31">
        <f t="shared" si="1"/>
        <v>13.862004495212071</v>
      </c>
      <c r="H56" s="129"/>
      <c r="I56" s="135"/>
    </row>
    <row r="57" spans="2:9" x14ac:dyDescent="0.25">
      <c r="B57" s="29">
        <f t="shared" si="3"/>
        <v>46631</v>
      </c>
      <c r="C57" s="40">
        <f t="shared" si="2"/>
        <v>46660</v>
      </c>
      <c r="D57" s="4">
        <f t="shared" si="4"/>
        <v>2034.3692307985248</v>
      </c>
      <c r="E57" s="4"/>
      <c r="F57" s="30">
        <f t="shared" si="7"/>
        <v>30</v>
      </c>
      <c r="G57" s="31">
        <f t="shared" si="1"/>
        <v>13.506877679891842</v>
      </c>
      <c r="H57" s="129"/>
      <c r="I57" s="135"/>
    </row>
    <row r="58" spans="2:9" x14ac:dyDescent="0.25">
      <c r="B58" s="29">
        <f t="shared" si="3"/>
        <v>46661</v>
      </c>
      <c r="C58" s="40">
        <f t="shared" si="2"/>
        <v>46691</v>
      </c>
      <c r="D58" s="4">
        <f t="shared" si="4"/>
        <v>2047.8761084784167</v>
      </c>
      <c r="E58" s="4"/>
      <c r="F58" s="30">
        <f t="shared" si="7"/>
        <v>31</v>
      </c>
      <c r="G58" s="31">
        <f t="shared" si="1"/>
        <v>14.049772973741266</v>
      </c>
      <c r="H58" s="129"/>
      <c r="I58" s="135"/>
    </row>
    <row r="59" spans="2:9" x14ac:dyDescent="0.25">
      <c r="B59" s="29">
        <f t="shared" si="3"/>
        <v>46692</v>
      </c>
      <c r="C59" s="40">
        <f t="shared" si="2"/>
        <v>46721</v>
      </c>
      <c r="D59" s="4">
        <f t="shared" si="4"/>
        <v>2061.9258814521581</v>
      </c>
      <c r="E59" s="4"/>
      <c r="F59" s="30">
        <f t="shared" si="7"/>
        <v>30</v>
      </c>
      <c r="G59" s="31">
        <f t="shared" si="1"/>
        <v>13.689835770297114</v>
      </c>
      <c r="H59" s="129"/>
      <c r="I59" s="135"/>
    </row>
    <row r="60" spans="2:9" x14ac:dyDescent="0.25">
      <c r="B60" s="29">
        <f t="shared" si="3"/>
        <v>46722</v>
      </c>
      <c r="C60" s="40">
        <f t="shared" si="2"/>
        <v>46752</v>
      </c>
      <c r="D60" s="4">
        <f t="shared" si="4"/>
        <v>2075.6157172224553</v>
      </c>
      <c r="E60" s="4"/>
      <c r="F60" s="30">
        <f t="shared" si="7"/>
        <v>31</v>
      </c>
      <c r="G60" s="31">
        <f t="shared" si="1"/>
        <v>14.240084879632745</v>
      </c>
      <c r="H60" s="129"/>
      <c r="I60" s="135"/>
    </row>
    <row r="61" spans="2:9" x14ac:dyDescent="0.25">
      <c r="B61" s="29">
        <f t="shared" si="3"/>
        <v>46753</v>
      </c>
      <c r="C61" s="40">
        <f t="shared" si="2"/>
        <v>46783</v>
      </c>
      <c r="D61" s="4">
        <f t="shared" si="4"/>
        <v>2089.8558021020881</v>
      </c>
      <c r="F61" s="30">
        <f t="shared" si="7"/>
        <v>31</v>
      </c>
      <c r="G61" s="31">
        <f t="shared" si="1"/>
        <v>14.337781199667603</v>
      </c>
      <c r="H61" s="129"/>
      <c r="I61" s="135"/>
    </row>
    <row r="62" spans="2:9" x14ac:dyDescent="0.25">
      <c r="B62" s="29">
        <f t="shared" si="3"/>
        <v>46784</v>
      </c>
      <c r="C62" s="40">
        <f t="shared" si="2"/>
        <v>46812</v>
      </c>
      <c r="D62" s="4">
        <f t="shared" si="4"/>
        <v>2104.1935833017556</v>
      </c>
      <c r="E62" s="4"/>
      <c r="F62" s="30">
        <f t="shared" si="7"/>
        <v>29</v>
      </c>
      <c r="G62" s="31">
        <f t="shared" si="1"/>
        <v>13.504783407584217</v>
      </c>
      <c r="H62" s="129"/>
      <c r="I62" s="135"/>
    </row>
    <row r="63" spans="2:9" x14ac:dyDescent="0.25">
      <c r="B63" s="29">
        <f t="shared" si="3"/>
        <v>46813</v>
      </c>
      <c r="C63" s="40">
        <f t="shared" si="2"/>
        <v>46843</v>
      </c>
      <c r="D63" s="4">
        <f t="shared" si="4"/>
        <v>2117.6983667093396</v>
      </c>
      <c r="E63" s="4"/>
      <c r="F63" s="30">
        <f t="shared" si="7"/>
        <v>31</v>
      </c>
      <c r="G63" s="31">
        <f t="shared" si="1"/>
        <v>14.528799450292762</v>
      </c>
      <c r="H63" s="129"/>
      <c r="I63" s="135"/>
    </row>
    <row r="64" spans="2:9" x14ac:dyDescent="0.25">
      <c r="B64" s="29">
        <f t="shared" si="3"/>
        <v>46844</v>
      </c>
      <c r="C64" s="40">
        <f t="shared" si="2"/>
        <v>46873</v>
      </c>
      <c r="D64" s="4">
        <f t="shared" si="4"/>
        <v>2132.2271661596324</v>
      </c>
      <c r="E64" s="4"/>
      <c r="F64" s="30">
        <f t="shared" si="7"/>
        <v>30</v>
      </c>
      <c r="G64" s="31">
        <f t="shared" si="1"/>
        <v>14.156590201551655</v>
      </c>
      <c r="H64" s="129"/>
      <c r="I64" s="135"/>
    </row>
    <row r="65" spans="2:9" x14ac:dyDescent="0.25">
      <c r="B65" s="29">
        <f t="shared" si="3"/>
        <v>46874</v>
      </c>
      <c r="C65" s="40">
        <f t="shared" si="2"/>
        <v>46904</v>
      </c>
      <c r="D65" s="4">
        <f t="shared" si="4"/>
        <v>2146.3837563611842</v>
      </c>
      <c r="E65" s="4"/>
      <c r="F65" s="30">
        <f t="shared" si="7"/>
        <v>31</v>
      </c>
      <c r="G65" s="31">
        <f t="shared" si="1"/>
        <v>14.725600033395992</v>
      </c>
      <c r="H65" s="101">
        <f>H52-H53</f>
        <v>2000.1</v>
      </c>
      <c r="I65" s="136">
        <v>1</v>
      </c>
    </row>
    <row r="66" spans="2:9" x14ac:dyDescent="0.25">
      <c r="B66" s="29">
        <f t="shared" si="3"/>
        <v>46905</v>
      </c>
      <c r="C66" s="40">
        <f>B66+14</f>
        <v>46919</v>
      </c>
      <c r="D66" s="4">
        <f t="shared" si="4"/>
        <v>2161.1093563945801</v>
      </c>
      <c r="E66" s="4">
        <f>SUM(G54:G66)+H66</f>
        <v>2168.2835308973649</v>
      </c>
      <c r="F66" s="30">
        <f t="shared" si="7"/>
        <v>15</v>
      </c>
      <c r="G66" s="31">
        <f t="shared" si="1"/>
        <v>7.1741745027852852</v>
      </c>
      <c r="H66" s="101">
        <f>H65*I65</f>
        <v>2000.1</v>
      </c>
      <c r="I66" s="135"/>
    </row>
    <row r="67" spans="2:9" x14ac:dyDescent="0.25">
      <c r="B67" s="29">
        <f t="shared" si="3"/>
        <v>46920</v>
      </c>
      <c r="C67" s="40">
        <f>B67</f>
        <v>46920</v>
      </c>
      <c r="D67" s="4">
        <f t="shared" si="4"/>
        <v>0</v>
      </c>
      <c r="E67" s="4"/>
      <c r="F67" s="30"/>
      <c r="G67" s="31">
        <f t="shared" si="1"/>
        <v>0</v>
      </c>
      <c r="H67" s="129"/>
      <c r="I67" s="135"/>
    </row>
    <row r="68" spans="2:9" x14ac:dyDescent="0.25">
      <c r="B68" s="29"/>
      <c r="C68" s="40"/>
      <c r="D68" s="4"/>
      <c r="E68" s="4"/>
      <c r="F68" s="30"/>
      <c r="G68" s="31"/>
      <c r="H68" s="129"/>
      <c r="I68" s="135"/>
    </row>
    <row r="69" spans="2:9" x14ac:dyDescent="0.25">
      <c r="B69" s="29"/>
      <c r="C69" s="40"/>
      <c r="D69" s="4"/>
      <c r="E69" s="4"/>
      <c r="F69" s="30"/>
      <c r="G69" s="31"/>
      <c r="H69" s="129"/>
      <c r="I69" s="135"/>
    </row>
    <row r="70" spans="2:9" s="32" customFormat="1" x14ac:dyDescent="0.25">
      <c r="B70" s="33" t="s">
        <v>44</v>
      </c>
      <c r="C70" s="33"/>
      <c r="D70" s="17"/>
      <c r="E70" s="17"/>
      <c r="F70" s="34"/>
      <c r="G70" s="35">
        <f>SUM(G11:G68)</f>
        <v>1916.3539606722277</v>
      </c>
      <c r="H70" s="129"/>
      <c r="I70" s="131"/>
    </row>
    <row r="72" spans="2:9" x14ac:dyDescent="0.25">
      <c r="B72" s="22" t="s">
        <v>12</v>
      </c>
      <c r="C72" s="36">
        <f>SUM(F11:F68)</f>
        <v>1568</v>
      </c>
      <c r="D72" s="37">
        <f>C72/366</f>
        <v>4.2841530054644812</v>
      </c>
      <c r="E72" s="37">
        <f>D72*12</f>
        <v>51.409836065573771</v>
      </c>
    </row>
    <row r="73" spans="2:9" x14ac:dyDescent="0.25">
      <c r="B73" s="80" t="s">
        <v>13</v>
      </c>
      <c r="C73" s="81">
        <f>SUM(G11:G68)</f>
        <v>1916.3539606722277</v>
      </c>
    </row>
    <row r="74" spans="2:9" x14ac:dyDescent="0.25">
      <c r="B74" s="22" t="s">
        <v>16</v>
      </c>
      <c r="C74" s="24">
        <f>C73+C5</f>
        <v>11916.353960672228</v>
      </c>
    </row>
    <row r="75" spans="2:9" x14ac:dyDescent="0.25">
      <c r="B75" s="22" t="s">
        <v>17</v>
      </c>
      <c r="C75" s="25">
        <f>EFFECT(F5,E72)</f>
        <v>8.4301222007693966E-2</v>
      </c>
    </row>
    <row r="76" spans="2:9" x14ac:dyDescent="0.25">
      <c r="C76" s="37"/>
    </row>
    <row r="77" spans="2:9" ht="15.75" thickBot="1" x14ac:dyDescent="0.3"/>
    <row r="78" spans="2:9" x14ac:dyDescent="0.25">
      <c r="B78" s="63" t="s">
        <v>20</v>
      </c>
      <c r="C78" s="64"/>
      <c r="D78" s="64"/>
      <c r="E78" s="64" t="s">
        <v>23</v>
      </c>
      <c r="F78" s="65"/>
    </row>
    <row r="79" spans="2:9" x14ac:dyDescent="0.25">
      <c r="B79" s="43"/>
      <c r="C79" s="24">
        <f>C5</f>
        <v>10000</v>
      </c>
      <c r="F79" s="44">
        <f>SUM(G11:G68)</f>
        <v>1916.3539606722277</v>
      </c>
    </row>
    <row r="80" spans="2:9" x14ac:dyDescent="0.25">
      <c r="B80" s="43"/>
      <c r="F80" s="45"/>
    </row>
    <row r="81" spans="2:6" x14ac:dyDescent="0.25">
      <c r="B81" s="43" t="s">
        <v>21</v>
      </c>
      <c r="E81" s="22" t="s">
        <v>24</v>
      </c>
      <c r="F81" s="45"/>
    </row>
    <row r="82" spans="2:6" ht="15.75" thickBot="1" x14ac:dyDescent="0.3">
      <c r="B82" s="43"/>
      <c r="C82" s="42">
        <f>H66+H53+H40+H27+H14</f>
        <v>10000</v>
      </c>
      <c r="F82" s="46">
        <f>(E14-H14)+(E27-H27)+(E40-H40)+(E53-H53)+(E66-H66)</f>
        <v>1916.3539606722281</v>
      </c>
    </row>
    <row r="83" spans="2:6" ht="15.75" thickTop="1" x14ac:dyDescent="0.25">
      <c r="B83" s="43"/>
      <c r="F83" s="45"/>
    </row>
    <row r="84" spans="2:6" x14ac:dyDescent="0.25">
      <c r="B84" s="43" t="s">
        <v>22</v>
      </c>
      <c r="C84" s="47">
        <f>C79-C82</f>
        <v>0</v>
      </c>
      <c r="E84" s="22" t="s">
        <v>25</v>
      </c>
      <c r="F84" s="45"/>
    </row>
    <row r="85" spans="2:6" x14ac:dyDescent="0.25">
      <c r="B85" s="43"/>
      <c r="F85" s="44">
        <f>F79-F82</f>
        <v>0</v>
      </c>
    </row>
    <row r="86" spans="2:6" ht="15.75" thickBot="1" x14ac:dyDescent="0.3">
      <c r="B86" s="48"/>
      <c r="C86" s="49"/>
      <c r="D86" s="49"/>
      <c r="E86" s="49"/>
      <c r="F86" s="50"/>
    </row>
  </sheetData>
  <pageMargins left="0.7" right="0.7" top="0.75" bottom="0.7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14</vt:i4>
      </vt:variant>
    </vt:vector>
  </HeadingPairs>
  <TitlesOfParts>
    <vt:vector size="29" baseType="lpstr">
      <vt:lpstr>History of Rate Changes</vt:lpstr>
      <vt:lpstr>Heifer Calf </vt:lpstr>
      <vt:lpstr>Heifer Calf Loans</vt:lpstr>
      <vt:lpstr>&lt;5-December Due Date</vt:lpstr>
      <vt:lpstr>&lt;5-Pairs Dec Due Date</vt:lpstr>
      <vt:lpstr>&gt;5-Cows &amp; Pairs - Dec</vt:lpstr>
      <vt:lpstr>Ewes &amp; Lambs - Dec</vt:lpstr>
      <vt:lpstr>&lt;5-Pairs Dec Due Date(RollOver)</vt:lpstr>
      <vt:lpstr>&lt;5-June Due Date</vt:lpstr>
      <vt:lpstr>Ewes &amp; Lambs -June11</vt:lpstr>
      <vt:lpstr>Ewes &amp; Lambs -June</vt:lpstr>
      <vt:lpstr>&gt;5-Cows &amp; Pairs  - June</vt:lpstr>
      <vt:lpstr>&gt;5-Cows &amp; Pairs  - June(ist Int</vt:lpstr>
      <vt:lpstr>&lt;5-Pairs Jun Due Date</vt:lpstr>
      <vt:lpstr>&lt;5-Pairs Jun( Ist Interest Only</vt:lpstr>
      <vt:lpstr>'&lt;5-December Due Date'!Print_Area</vt:lpstr>
      <vt:lpstr>'&lt;5-June Due Date'!Print_Area</vt:lpstr>
      <vt:lpstr>'&lt;5-Pairs Dec Due Date'!Print_Area</vt:lpstr>
      <vt:lpstr>'&lt;5-Pairs Dec Due Date(RollOver)'!Print_Area</vt:lpstr>
      <vt:lpstr>'&lt;5-Pairs Jun Due Date'!Print_Area</vt:lpstr>
      <vt:lpstr>'&lt;5-Pairs Jun( Ist Interest Only'!Print_Area</vt:lpstr>
      <vt:lpstr>'&gt;5-Cows &amp; Pairs  - June'!Print_Area</vt:lpstr>
      <vt:lpstr>'&gt;5-Cows &amp; Pairs  - June(ist Int'!Print_Area</vt:lpstr>
      <vt:lpstr>'&gt;5-Cows &amp; Pairs - Dec'!Print_Area</vt:lpstr>
      <vt:lpstr>'Ewes &amp; Lambs - Dec'!Print_Area</vt:lpstr>
      <vt:lpstr>'Ewes &amp; Lambs -June'!Print_Area</vt:lpstr>
      <vt:lpstr>'Ewes &amp; Lambs -June11'!Print_Area</vt:lpstr>
      <vt:lpstr>'Heifer Calf '!Print_Area</vt:lpstr>
      <vt:lpstr>'Heifer Calf Loans'!Print_Area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Shahid Zia</dc:creator>
  <cp:lastModifiedBy>Cassandra Karabonik</cp:lastModifiedBy>
  <cp:lastPrinted>2023-05-18T19:33:49Z</cp:lastPrinted>
  <dcterms:created xsi:type="dcterms:W3CDTF">2014-03-03T23:15:38Z</dcterms:created>
  <dcterms:modified xsi:type="dcterms:W3CDTF">2024-03-14T22:53:22Z</dcterms:modified>
</cp:coreProperties>
</file>